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1" sheetId="1" r:id="rId1"/>
    <sheet name="пр.2" sheetId="2" state="hidden" r:id="rId2"/>
    <sheet name="пр. 3" sheetId="3" state="hidden" r:id="rId3"/>
    <sheet name="2" sheetId="4" r:id="rId4"/>
    <sheet name="3" sheetId="5" r:id="rId5"/>
    <sheet name="пр.6а" sheetId="6" state="hidden" r:id="rId6"/>
    <sheet name="4" sheetId="7" r:id="rId7"/>
    <sheet name="5" sheetId="8" state="hidden" r:id="rId8"/>
  </sheets>
  <definedNames>
    <definedName name="_xlnm._FilterDatabase" localSheetId="4" hidden="1">'3'!$G$5:$G$199</definedName>
    <definedName name="_xlnm.Print_Titles" localSheetId="0">'1'!$10:$11</definedName>
    <definedName name="_xlnm.Print_Titles" localSheetId="3">'2'!$10:$11</definedName>
    <definedName name="_xlnm.Print_Titles" localSheetId="4">'3'!$11:$12</definedName>
    <definedName name="_xlnm.Print_Titles" localSheetId="6">'4'!$10:$12</definedName>
    <definedName name="_xlnm.Print_Titles" localSheetId="7">'5'!$9:$11</definedName>
    <definedName name="_xlnm.Print_Titles" localSheetId="2">'пр. 3'!$7:$8</definedName>
    <definedName name="_xlnm.Print_Titles" localSheetId="1">'пр.2'!$7:$8</definedName>
    <definedName name="_xlnm.Print_Titles" localSheetId="5">'пр.6а'!$8:$10</definedName>
    <definedName name="_xlnm.Print_Area" localSheetId="0">'1'!$A$1:$U$41</definedName>
    <definedName name="_xlnm.Print_Area" localSheetId="3">'2'!$A$1:$H$61</definedName>
    <definedName name="_xlnm.Print_Area" localSheetId="4">'3'!$A$1:$L$226</definedName>
    <definedName name="_xlnm.Print_Area" localSheetId="6">'4'!$A$1:$F$63</definedName>
    <definedName name="_xlnm.Print_Area" localSheetId="7">'5'!$A$1:$L$29</definedName>
    <definedName name="_xlnm.Print_Area" localSheetId="2">'пр. 3'!$A$1:$E$29</definedName>
    <definedName name="_xlnm.Print_Area" localSheetId="1">'пр.2'!$A$1:$H$39</definedName>
    <definedName name="_xlnm.Print_Area" localSheetId="5">'пр.6а'!$A$1:$G$28</definedName>
  </definedNames>
  <calcPr fullCalcOnLoad="1"/>
</workbook>
</file>

<file path=xl/sharedStrings.xml><?xml version="1.0" encoding="utf-8"?>
<sst xmlns="http://schemas.openxmlformats.org/spreadsheetml/2006/main" count="1222" uniqueCount="434">
  <si>
    <t>№ п/п</t>
  </si>
  <si>
    <t>Ед. измере-ния</t>
  </si>
  <si>
    <t>ГРБС</t>
  </si>
  <si>
    <t>ЦСР</t>
  </si>
  <si>
    <t>ВР</t>
  </si>
  <si>
    <t>Рз Пр</t>
  </si>
  <si>
    <t>Наименование объекта</t>
  </si>
  <si>
    <t>%</t>
  </si>
  <si>
    <t>Подпрограмма 1 «Развитие дошкольного и общего образования детей»</t>
  </si>
  <si>
    <t>Подпрограмма 2 «Развитие дополнительного образования детей»</t>
  </si>
  <si>
    <t>Подпрограмма 3  «Поддержка детей-сирот,  расширение практики применения семейных форм воспитания »</t>
  </si>
  <si>
    <t>Управление образования</t>
  </si>
  <si>
    <t>Администрация города Назарово</t>
  </si>
  <si>
    <t>078</t>
  </si>
  <si>
    <t>Х</t>
  </si>
  <si>
    <t>Приложение № 1</t>
  </si>
  <si>
    <t>Приложение № 2</t>
  </si>
  <si>
    <t>Приложение № 3</t>
  </si>
  <si>
    <t>Приложение № 4</t>
  </si>
  <si>
    <t>07 09</t>
  </si>
  <si>
    <t>07 07</t>
  </si>
  <si>
    <t>10 04</t>
  </si>
  <si>
    <t>07 01</t>
  </si>
  <si>
    <t>07 02</t>
  </si>
  <si>
    <t>10 03</t>
  </si>
  <si>
    <t>1.1.</t>
  </si>
  <si>
    <t>1.2.</t>
  </si>
  <si>
    <t>1.3.</t>
  </si>
  <si>
    <t>1.6.</t>
  </si>
  <si>
    <t>1.7.</t>
  </si>
  <si>
    <t>1.8.</t>
  </si>
  <si>
    <t>1.9.</t>
  </si>
  <si>
    <t>Наименование целевого индикатора, показателя</t>
  </si>
  <si>
    <t>Муниципальнвя программа "Развитие образования города Назарово"</t>
  </si>
  <si>
    <t>1.10.</t>
  </si>
  <si>
    <t>СВЕДЕНИЯ</t>
  </si>
  <si>
    <t>Наименование муниципальной программы, подпрограммы, мероприятий</t>
  </si>
  <si>
    <t>Ответственный исполнитель, соисполнитель</t>
  </si>
  <si>
    <t xml:space="preserve">ВСЕГО   </t>
  </si>
  <si>
    <t xml:space="preserve">Коды бюджетной классификации </t>
  </si>
  <si>
    <t>тыс.руб.</t>
  </si>
  <si>
    <t>Подпрограмма 2 "Развитие дополнительного образования детей"</t>
  </si>
  <si>
    <t>Мероприятие - Оплата стоимости набора продуктов питания или готовых блюд и их транспортировки в лагерях с дневным пребыванием детей</t>
  </si>
  <si>
    <t>Подпрограмма 4 "Обеспечение реализации муниципальной программы и прочие мероприятия в области образования"</t>
  </si>
  <si>
    <t>Источники и направления финансирования</t>
  </si>
  <si>
    <t>1. Бюджет города, в том числе:</t>
  </si>
  <si>
    <t>капитальные вложения, капитальный ремонт</t>
  </si>
  <si>
    <t>расходы за счет доходов от оказания платных услуг подведомственными учреждениями</t>
  </si>
  <si>
    <t>2. Краевой бюджет, в том числе:</t>
  </si>
  <si>
    <t>3.Федеральный бюджет, в том числе:</t>
  </si>
  <si>
    <t>4.Внебюджетные источники, в том числе:</t>
  </si>
  <si>
    <t>в том числе</t>
  </si>
  <si>
    <t>Всего</t>
  </si>
  <si>
    <t>Бюджет города</t>
  </si>
  <si>
    <t>Краевой бюджет</t>
  </si>
  <si>
    <t>Федеральный бюджет</t>
  </si>
  <si>
    <t>Внебюджетные источники</t>
  </si>
  <si>
    <t>итого</t>
  </si>
  <si>
    <t>ВСЕГО</t>
  </si>
  <si>
    <t>ежегодно, III квартал</t>
  </si>
  <si>
    <t>Меры организации отдыха, оздоровления и занятости детей и подростков в летний период</t>
  </si>
  <si>
    <t>ежегодно, II квартал</t>
  </si>
  <si>
    <t>Расходование средств субвенции по обеспечению жилыми помещениями детей-сирот и детей, оставшихся без попечения родителей</t>
  </si>
  <si>
    <t>ежегодно, I квартал</t>
  </si>
  <si>
    <t>Постановление</t>
  </si>
  <si>
    <t>1 раз в год</t>
  </si>
  <si>
    <t>Наименование мероприятий</t>
  </si>
  <si>
    <t>Ответственный исполнитель мероприятия</t>
  </si>
  <si>
    <t>начала реализации</t>
  </si>
  <si>
    <t>окончания реализации</t>
  </si>
  <si>
    <t>Оплата стоимости набора продуктов питания или готовых блюд и их транспортировки в лагерях с дневным пребыванием детей за счет средств краевого бюджета</t>
  </si>
  <si>
    <t>Организация отдыха, оздоровления и занятости детей в муниципальных загородных оздоровительных лагерях</t>
  </si>
  <si>
    <t>Оплата стоимости набора продуктов питания или готовых блюд и их транспортировки в лагерях с дневным пребыванием детей</t>
  </si>
  <si>
    <t>Обеспечение выплат отдельным категориям работников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</t>
  </si>
  <si>
    <t>Осуществление полномочий по организации и осуществлению деятельности по опеке  и попечительству в отношении несовершеннолетних</t>
  </si>
  <si>
    <t>Руководство и управление в сфере установленных функций</t>
  </si>
  <si>
    <t>управление образования</t>
  </si>
  <si>
    <t>администрация города Назарово</t>
  </si>
  <si>
    <t>Наименование услуги (работы), показателя объема услуги (рботы), подпрограммы, мероприятий</t>
  </si>
  <si>
    <t>Значение показателя объема услуги (работы)</t>
  </si>
  <si>
    <t>Расходы бюджета на оказание муниципальной услуги (работы), тыс.руб.</t>
  </si>
  <si>
    <t>Услуга "Реализация основных общеобразовательных программ дошкольного образования"</t>
  </si>
  <si>
    <t>Количество воспитанников</t>
  </si>
  <si>
    <t>Подпрограмма 1 "Развитие дошкольного и общего образования"</t>
  </si>
  <si>
    <t>Услуга "Реализация основных общеобразовательных программ начального общего образования"</t>
  </si>
  <si>
    <t>Услуга "Реализация основных общеобразовательных программ основного общего образования"</t>
  </si>
  <si>
    <t>Услуга "Реализация основных общеобразовательных программ среднего общего образования"</t>
  </si>
  <si>
    <t>Количество обучающихся</t>
  </si>
  <si>
    <t>Услуга "Реализация дополнительных общеразвивающих программ"</t>
  </si>
  <si>
    <t>Реализация программы дошкольного образования через начисление заработной платы педагогическим работникам и материальное обеспечение за счет средств краевого бюджета</t>
  </si>
  <si>
    <t>Обеспечить выплату компенсации части родительской платы за содержание ребенка в учреждениях, реализующих программу дошкольного образования</t>
  </si>
  <si>
    <t>Подготовка загородных оздоровительных лагерей к новому сезону</t>
  </si>
  <si>
    <t>Стимулирование отдельных категорий работников муниципальных загородных оздоровительных лагерей, с целью повышения заработной платы. Проведение санитарно-эпидемиологических оценок</t>
  </si>
  <si>
    <t>Вес показателя (индикатора)</t>
  </si>
  <si>
    <t>Источник информации</t>
  </si>
  <si>
    <t>Значение  показателей</t>
  </si>
  <si>
    <t>о  целевых индикаторах и показателях муниципальной программы, подпрограмм муниципальной программы, отдельных мероприятиях и их значениях</t>
  </si>
  <si>
    <t>Ведомственная отчетность</t>
  </si>
  <si>
    <t>Государственная статистическая отчетность (форма 83-РИК)</t>
  </si>
  <si>
    <t>Государственная статистическая отчетность (форма 103-РИК)</t>
  </si>
  <si>
    <t>ПЕРЕЧЕНЬ</t>
  </si>
  <si>
    <t xml:space="preserve"> мероприятий подпрограмм и отдельных мероприятий муниципальной программы</t>
  </si>
  <si>
    <t>Срок</t>
  </si>
  <si>
    <t>Ожидаемый результат (краткое описание)</t>
  </si>
  <si>
    <t>Последствия нереализации мероприятия</t>
  </si>
  <si>
    <t>Связь с показателями муниципальной программы (подпрограммы)</t>
  </si>
  <si>
    <t xml:space="preserve">Отсутствие начисления и выплаты заработной платы педагогическим работникам, отсутствие материального обеспечения учреждений на реализацию программы дошкольного образования </t>
  </si>
  <si>
    <t>Обеспечение деятельности административного и учебно-вспомогательного персоналу через начисление и выплату заработной платы за счет средств краевого бюджета</t>
  </si>
  <si>
    <t xml:space="preserve">Не обеспечена  деятельность административного и учебно-вспомогательного персонала </t>
  </si>
  <si>
    <t>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 за счет бюджетных средств</t>
  </si>
  <si>
    <t xml:space="preserve">Не обеспечен присмотр и уход за детьми-инвалидами, детьми-сиротами и детьми, оставшимися без попечения родителей, а также детьми с туберкулезной интоксикацией </t>
  </si>
  <si>
    <t>Не обеспечена выплата компенсации части родительской платы за содержание ребенка в учреждениях, реализующих программу дошкольного образования</t>
  </si>
  <si>
    <t>Реализация программ начального общего, основного общего,среднего общего образования через начисление заработной платы педагогическим работникам и материальное обеспечение за счет средств краевого бюджета</t>
  </si>
  <si>
    <t xml:space="preserve">Отсутствие начисления и выплаты заработной платы педагогическим работникам, отсутствие материального обеспечения учреждений на реализацию программы начального общего, основного общего,среднего общего образования </t>
  </si>
  <si>
    <t>Обеспечение деятельности (оказание услуг) подведомственных организаций города</t>
  </si>
  <si>
    <t>Обеспечение безопасной и комфортной жизнедеятельности органиазций</t>
  </si>
  <si>
    <t>отсутствие безопасной и комфортной жизнедеятельности организаций</t>
  </si>
  <si>
    <t>Выплата компенсации части родительской платы за содержание ребенка в муниципальных организациях, реализующих основную общеобразовательную программу дошкольного образования</t>
  </si>
  <si>
    <t>Обеспечение питанием без взимания платы обучающихся в муниципальных общеобразовательных организациях по имеющим государственную аккредитацию основным общеобразовательным программам</t>
  </si>
  <si>
    <t>Не обеспечены бесплатным питанием льготные категории детей  в общеобразовательных организациях</t>
  </si>
  <si>
    <t>Обеспечить бесплатным питанием льготные категории детей, обучающихся в общеобразовательных организациях</t>
  </si>
  <si>
    <t xml:space="preserve"> не обеспечено питание для  детей в пришкольных лагерях</t>
  </si>
  <si>
    <t>Не организован отдых, оздоровление и занятость детей в муниципальных загородных оздоровительных лагерях</t>
  </si>
  <si>
    <t>Не выполнены ремонтные работы с целью подготовки загородных оздоровительных лагерей к новому сезону</t>
  </si>
  <si>
    <t>Лица из числа детей-сирот оставшихся без попечения родителей не будут обеспечены жильем</t>
  </si>
  <si>
    <t>Обеспечение безопасной и комфортной жизнедеятельности организаций</t>
  </si>
  <si>
    <t>Наименование нормативного правового акта</t>
  </si>
  <si>
    <t>нормативных правовых актов администрации города, которые необходимо принять в целях реализации мероприятий программы, подпрограммы</t>
  </si>
  <si>
    <t>Предмет регулирования, основное содержание</t>
  </si>
  <si>
    <t>Ответственный исполнитель и соисполнитель</t>
  </si>
  <si>
    <t>Ожидаемые сроки принятия (год, квартал)</t>
  </si>
  <si>
    <t>ПРОГНОЗ</t>
  </si>
  <si>
    <t>Услуга "Присмотр и уход"</t>
  </si>
  <si>
    <t>Мероприятие - Обеспечение деятельности (оказание услуг) подведомственных организаций города</t>
  </si>
  <si>
    <t>Мероприятие - Финансовое обеспечение государственных гарантий реализации прав на получение общедоступного и бесплатного начального общего, основного общего,среднего общего   образования в муниципальных образовательных организациях (ГПД)</t>
  </si>
  <si>
    <t>Услуга "Организация питания"</t>
  </si>
  <si>
    <t>Мероприятие - Обеспечение питанием без взимания платы обучающихся в муниципальных общеобразовательных организациях по имеющим государственную аккредитацию основным общеобразовательным программам</t>
  </si>
  <si>
    <t>Услуга "Организация отдыха детей"</t>
  </si>
  <si>
    <t>Приложение № 5</t>
  </si>
  <si>
    <t>Распределение</t>
  </si>
  <si>
    <t>планируемых расходов по подпрограммам и мероприятиям муниципальной программы</t>
  </si>
  <si>
    <t>Расходы, годы</t>
  </si>
  <si>
    <t>Итого на период</t>
  </si>
  <si>
    <t>Статус</t>
  </si>
  <si>
    <t>Управление образования администрации г.Назарово</t>
  </si>
  <si>
    <t>"Развитие образования города Назарово"</t>
  </si>
  <si>
    <t xml:space="preserve">Муниципальная программа </t>
  </si>
  <si>
    <t xml:space="preserve"> "Развитие дошкольного и общего образования детей"</t>
  </si>
  <si>
    <t>Подпрограмма 1</t>
  </si>
  <si>
    <t>Мероприятие 1.1.</t>
  </si>
  <si>
    <t>0110000810</t>
  </si>
  <si>
    <t>Мероприятие 1.2.</t>
  </si>
  <si>
    <t>0110075540</t>
  </si>
  <si>
    <t>0110075880</t>
  </si>
  <si>
    <t>Мероприятие 1.3.</t>
  </si>
  <si>
    <t>всего по КБК</t>
  </si>
  <si>
    <t>0110074080</t>
  </si>
  <si>
    <t>0110074090</t>
  </si>
  <si>
    <t>Мероприятие 1.4.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</si>
  <si>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общего,среднего общего  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в муниципальных общеобразовательных организациях</t>
  </si>
  <si>
    <t xml:space="preserve">07 02 </t>
  </si>
  <si>
    <t>0110075640</t>
  </si>
  <si>
    <t>ооо</t>
  </si>
  <si>
    <t>Мероприятие 1.5.</t>
  </si>
  <si>
    <t>Мероприятие 1.6.</t>
  </si>
  <si>
    <t>Мероприятие 1.7.</t>
  </si>
  <si>
    <t>Мероприятие 1.8.</t>
  </si>
  <si>
    <t>Обеспечение питанием детей, обучающихся в муниципальных организациях, реализующих основные общеобразовательные программы, без взимания платы</t>
  </si>
  <si>
    <t>0110075660</t>
  </si>
  <si>
    <t>Мероприятие 1.9.</t>
  </si>
  <si>
    <t>Мероприятие 1.10.</t>
  </si>
  <si>
    <t xml:space="preserve"> Выплата и доставка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</si>
  <si>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0110075560</t>
  </si>
  <si>
    <t xml:space="preserve"> "Развитие дополнительного образования детей"</t>
  </si>
  <si>
    <t>Подпрограмма 2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</si>
  <si>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общего,среднего общего  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организациях,   в части обеспечения деятельности административного и учебно-вспомогательного персонала</t>
  </si>
  <si>
    <t>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</si>
  <si>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Финансовое обеспечение государственных гарантий реализации прав на получение общедоступного и бесплатного дошкольного образования муниципальных дошкольных образовательных организациях и муниципальных общеобразовательных организациях, за исключением обеспечения деятельности административного и учебно-вспомогательного персонала</t>
  </si>
  <si>
    <t>Мероприятие 2.1.</t>
  </si>
  <si>
    <t>0120000810</t>
  </si>
  <si>
    <t xml:space="preserve"> Обеспечение деятельности (оказание услуг) подведомственных организаций города</t>
  </si>
  <si>
    <t xml:space="preserve"> Оплата стоимости набора продуктов питания или готовых блюд и их транспортировки в лагерях с дневным пребыванием детей за счет средств краевого бюджета</t>
  </si>
  <si>
    <t>162</t>
  </si>
  <si>
    <t>Мероприятие 2.2.</t>
  </si>
  <si>
    <t>Мероприятие 2.3.</t>
  </si>
  <si>
    <t>Организация отдыха детей и их оздоровления  в муниципальных загородных оздоровительных лагерях за счет средств краевого бюджета</t>
  </si>
  <si>
    <t>Мероприятие 2.4.</t>
  </si>
  <si>
    <t>Мероприятие 2.6.</t>
  </si>
  <si>
    <t>Мероприятие 2.7.</t>
  </si>
  <si>
    <t>Частичное финансирование (возмещение) расходов муниципальных образований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лагерей за счет средств муниципального бюджета</t>
  </si>
  <si>
    <t>"Поддержка детей-сирот, расширение практики применения семейных форм воспитания"</t>
  </si>
  <si>
    <t xml:space="preserve">Подпрограмма 3 </t>
  </si>
  <si>
    <t xml:space="preserve"> Осуществление государственных полномочий по организации и осуществлению деятельности по опеке  и попечительству в отношении несовершеннолетних</t>
  </si>
  <si>
    <t>0130075520</t>
  </si>
  <si>
    <t>01300R0820</t>
  </si>
  <si>
    <t>Мероприятие 3.1.</t>
  </si>
  <si>
    <t>"Обеспечение реализации муниципальной программы и прочие мероприятия в области образования"</t>
  </si>
  <si>
    <t xml:space="preserve">Подпрограмма 4 </t>
  </si>
  <si>
    <t>Руководство и управление в сфере установленных функций органов местного самоуправления</t>
  </si>
  <si>
    <t>0140000310</t>
  </si>
  <si>
    <t>0140000810</t>
  </si>
  <si>
    <t>Мероприятие 4.1.</t>
  </si>
  <si>
    <t>Мероприятие 4.2.</t>
  </si>
  <si>
    <t xml:space="preserve"> объектов капитального строительства на текущий финансовый год (за счет всех источников финансирования)</t>
  </si>
  <si>
    <t>Объем капитальных вложений на текущий финансовый год</t>
  </si>
  <si>
    <t>Управление образования администрации города Назарово</t>
  </si>
  <si>
    <t>Приложение № 6 б</t>
  </si>
  <si>
    <t>Приложение № 6 а</t>
  </si>
  <si>
    <t xml:space="preserve"> объектов капитального строительства на плановый период (за счет всех источников финансирования)</t>
  </si>
  <si>
    <t>Финансовая поддержка муниципальных организаций, иных муниципальных организаций, оказывающих услуги по отдыху, оздоровлению и занятости детей</t>
  </si>
  <si>
    <t>Установление родительской платы за содержание детей в муниципальных дошкольных образовательных организациях</t>
  </si>
  <si>
    <t xml:space="preserve"> сводных показателей муниципальных заданий на оказание услуг (выполнение работ) муниципальными организациями по программе</t>
  </si>
  <si>
    <t>Приложение № 7</t>
  </si>
  <si>
    <t>Объем финансирования</t>
  </si>
  <si>
    <t>в том числе по годам</t>
  </si>
  <si>
    <t>РАСПРЕДЕЛЕНИЕ</t>
  </si>
  <si>
    <t>планируемых объемов финансирования муниципальной программы по источникам и направлениям расходования средств, в том числе в рамках адресной инвестиционной программы города</t>
  </si>
  <si>
    <t>Всего по программе, в том числе по источникам финансирования:</t>
  </si>
  <si>
    <t>Всего по программе 1, в том числе по источникам финансирования:</t>
  </si>
  <si>
    <t>Всего по программе 2, в том числе по источникам финансирования:</t>
  </si>
  <si>
    <t>Всего по программе 3, в том числе по источникам финансирования:</t>
  </si>
  <si>
    <t>Всего по программе 4, в том числе по источникам финансирования:</t>
  </si>
  <si>
    <t>Тыс.руб.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</si>
  <si>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</si>
  <si>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муниципальных дошкольных образовательных организациях и муниципальных общеобразовательных организациях в части обеспечения деятельности административного и учебно-вспомогательного персонала</t>
  </si>
  <si>
    <t xml:space="preserve">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муниципальных образовательных организациях, реализующих программу дошкольного образования, без взимания родительской платы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</si>
  <si>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общего,среднего общего  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</si>
  <si>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безопасной и комфортной жизнедеятельности органиазций путем устранеия предписаний надзорных органов</t>
  </si>
  <si>
    <t>Штрафные санции по факту неисполнения предписаний</t>
  </si>
  <si>
    <t xml:space="preserve">Сеть муниципальных образовательных организаций и контингента обучающихся и воспитанников </t>
  </si>
  <si>
    <t>Реализация отдельных положений закона Красноярского края "О защите прав ребенка" в муниципальных общеобразовательных организациях</t>
  </si>
  <si>
    <t>Расчет нормативных затрат на оказание муниципальными организациями муниципальных услуг и нормативных затрат на содержание имущества муниципальных организаций</t>
  </si>
  <si>
    <t>1.4.</t>
  </si>
  <si>
    <t xml:space="preserve">Государственная статистическая отчетность </t>
  </si>
  <si>
    <t>Обеспечить отдых, оздоровления и занятость детей (425 чел.) в муниципальных загородных оздоровительных лагерях</t>
  </si>
  <si>
    <t>Обеспечить питанием детей (681 чел.) в лагерях с дневным пребыванием</t>
  </si>
  <si>
    <t>Обеспечить питанием детей (544 чел.) в лагерях с дневным пребыванием</t>
  </si>
  <si>
    <t>07 03</t>
  </si>
  <si>
    <t>0140047010</t>
  </si>
  <si>
    <t>Мероприятие 2.5.</t>
  </si>
  <si>
    <t>Целевой индикатор:</t>
  </si>
  <si>
    <t>х</t>
  </si>
  <si>
    <t>2020 год</t>
  </si>
  <si>
    <t>Количество человеко/часов</t>
  </si>
  <si>
    <t>Мероприятие: Осуществление присмотра и ухода за воспитанниками, из них детьми-инвалидами, детьми-сиротами и детьми, оставшимися без попечения родителей, а также детьми с туберкулезной интоксикацией,  в муниципальных образовательных организациях</t>
  </si>
  <si>
    <t>школы</t>
  </si>
  <si>
    <t>роспись</t>
  </si>
  <si>
    <t>по услугам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</si>
  <si>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</si>
  <si>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2021 год</t>
  </si>
  <si>
    <t>Реализованы полномочия по организации и осуществлению деятельности по опеке  и попечительству в отношении несовершеннолетних</t>
  </si>
  <si>
    <t>Расходование субвенции на организацию отдыха, оздоровления и занятости детей в муниципальных загородных оздоровительных лагерях</t>
  </si>
  <si>
    <t>0110076490</t>
  </si>
  <si>
    <t>0120076490</t>
  </si>
  <si>
    <t>Мероприятие 4.3.</t>
  </si>
  <si>
    <t>0140076490</t>
  </si>
  <si>
    <t xml:space="preserve"> Оплата стоимости набора продуктов питания или готовых блюд и их транспортировки в лагерях с дневным пребыванием детей за счет внебюджетных средств </t>
  </si>
  <si>
    <t>Мероприятие 1.11.</t>
  </si>
  <si>
    <t>Оплата стоимости набора продуктов питания или готовых блюд и их транспортировки в лагерях с дневным пребыванием детей за счет внебюджетных средств</t>
  </si>
  <si>
    <t>Организация отдыха детей и их оздоровления  в муниципальных загородных оздоровительных лагерях за счет внебюджетных средств</t>
  </si>
  <si>
    <t>ооооооооооо</t>
  </si>
  <si>
    <t xml:space="preserve">Мероприятие - Организация отдыха детей и их оздоровления  в муниципальных загородных оздоровительных лагерях </t>
  </si>
  <si>
    <t>Мероприятие - Частичное финансирование (возмещение) расходов муниципальных образований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лагерей за счет средств муниципального бюджета</t>
  </si>
  <si>
    <t>Мероприятие 1.12.</t>
  </si>
  <si>
    <t>ПЛАН</t>
  </si>
  <si>
    <t>Удельный вес численности населения в возрасте 5-18 лет, охваченного общим образованием, в общей численности населения в возрасте 5-18 лет</t>
  </si>
  <si>
    <t>Подпрограмма 4  «Обеспечение реализации муниципальной программы и прочие мероприятия в области образования»</t>
  </si>
  <si>
    <t>балл</t>
  </si>
  <si>
    <r>
      <rPr>
        <b/>
        <sz val="12"/>
        <rFont val="Times New Roman"/>
        <family val="1"/>
      </rPr>
      <t>Показатель результативности:</t>
    </r>
    <r>
      <rPr>
        <sz val="12"/>
        <rFont val="Times New Roman"/>
        <family val="1"/>
      </rPr>
      <t xml:space="preserve"> 3. Удельный вес численности обучающихся , занимающихся в первую смену, в общей численности обучающихся в  общеобразовательных организациях, в том числе обучающихся по программам начального общего, основного общего, среднего общего образования</t>
    </r>
  </si>
  <si>
    <t>Государственная статистическая отчетность (форма 85-к), ведомственная отчетность</t>
  </si>
  <si>
    <t>Доля выпускников муниципальных общеобразовательных организаций, не получивших аттестат о среднем общем образовании, в общей численности выпускников муниципальных общеобразовательных организаций</t>
  </si>
  <si>
    <r>
      <rPr>
        <b/>
        <sz val="12"/>
        <rFont val="Times New Roman"/>
        <family val="1"/>
      </rPr>
      <t>Показатель результативности:</t>
    </r>
    <r>
      <rPr>
        <sz val="12"/>
        <rFont val="Times New Roman"/>
        <family val="1"/>
      </rPr>
      <t xml:space="preserve"> 2. 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</t>
    </r>
  </si>
  <si>
    <r>
      <rPr>
        <b/>
        <sz val="12"/>
        <rFont val="Times New Roman"/>
        <family val="1"/>
      </rPr>
      <t xml:space="preserve">Показатель результативности: </t>
    </r>
    <r>
      <rPr>
        <sz val="12"/>
        <rFont val="Times New Roman"/>
        <family val="1"/>
      </rPr>
      <t xml:space="preserve"> 1. Доступность дошкольного образования для детей в возрасте от 2 месяцев до 3 лет (отношение численности детей в возрасте от 2 месяцев до 3 лет, получающих дошкольное образование в текущем году, к сумме численности детей в возрасте от 2 месяцев до 3 лет, получающих дошкольное образование в текущем году, и численности детей в возрасте от 2 месяцев до 3 лет, находящихся в очереди на получение в текущем году дошкольного образования)</t>
    </r>
  </si>
  <si>
    <r>
      <rPr>
        <b/>
        <sz val="12"/>
        <rFont val="Times New Roman"/>
        <family val="1"/>
      </rPr>
      <t>Показатель результативности:</t>
    </r>
    <r>
      <rPr>
        <sz val="12"/>
        <rFont val="Times New Roman"/>
        <family val="1"/>
      </rPr>
      <t xml:space="preserve"> 4. 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  </r>
  </si>
  <si>
    <t>1.5.</t>
  </si>
  <si>
    <t>1.11.</t>
  </si>
  <si>
    <t>1.12.</t>
  </si>
  <si>
    <t>1.13.</t>
  </si>
  <si>
    <t>1.14.</t>
  </si>
  <si>
    <t>Соблюдены сроки предоставления годовой бюджетной отчетности; Своевременно доведены  лимиты бюджетных обязательств до подведомственных учреждений</t>
  </si>
  <si>
    <t>2022 год</t>
  </si>
  <si>
    <t>Работа "Организация и осуществление транспортного обслуживания учащихся образовательных организаций"</t>
  </si>
  <si>
    <t>Количество рейсов</t>
  </si>
  <si>
    <t>Объем капитальных вложений на 2021 год</t>
  </si>
  <si>
    <t>расчет показателя</t>
  </si>
  <si>
    <t>3/227</t>
  </si>
  <si>
    <t>4/229</t>
  </si>
  <si>
    <t>584/1297</t>
  </si>
  <si>
    <t>3/12</t>
  </si>
  <si>
    <t>4811/5666</t>
  </si>
  <si>
    <t>2/9</t>
  </si>
  <si>
    <t>4860/5586</t>
  </si>
  <si>
    <t>5269/5666</t>
  </si>
  <si>
    <t>69/222</t>
  </si>
  <si>
    <t>шт.</t>
  </si>
  <si>
    <t>7208/8382</t>
  </si>
  <si>
    <t>2/227</t>
  </si>
  <si>
    <t>585/1297</t>
  </si>
  <si>
    <t>586/1297</t>
  </si>
  <si>
    <t>3/9</t>
  </si>
  <si>
    <t>5384/5777</t>
  </si>
  <si>
    <t>5518/5902</t>
  </si>
  <si>
    <t>71/220</t>
  </si>
  <si>
    <t>72/219</t>
  </si>
  <si>
    <t>22/178</t>
  </si>
  <si>
    <t>1.15.</t>
  </si>
  <si>
    <t>611</t>
  </si>
  <si>
    <t>621</t>
  </si>
  <si>
    <t>Мероприятие 1.13.</t>
  </si>
  <si>
    <t>Реализация мероприятий на развитие инфроструктуры общеобразовательных организаций на проведение работ в общеобразовательных организациях с целью приведения зданий сооружений общеобразовательных организаций в соответствие требованиям надзорных органов</t>
  </si>
  <si>
    <t>01100S5630</t>
  </si>
  <si>
    <t>Мероприятие 1.14.</t>
  </si>
  <si>
    <t>Мероприятие 3.2.</t>
  </si>
  <si>
    <t>местный бюджет</t>
  </si>
  <si>
    <t>краевой бюджет</t>
  </si>
  <si>
    <t>федеральный бюджет</t>
  </si>
  <si>
    <t>внебюджет</t>
  </si>
  <si>
    <t>01200S3970</t>
  </si>
  <si>
    <t>фед.б.</t>
  </si>
  <si>
    <t>мун.б.</t>
  </si>
  <si>
    <t>рег.б.</t>
  </si>
  <si>
    <t xml:space="preserve">Реализация мероприятий в сфере обеспечения доступности приоритетных объектов и услуг в приоритетных сферах жизнидеятельности инвалидов и других маломобильных групп населения </t>
  </si>
  <si>
    <t>01100S5980</t>
  </si>
  <si>
    <t>011Е151690</t>
  </si>
  <si>
    <t>011Е452100</t>
  </si>
  <si>
    <t>07 05</t>
  </si>
  <si>
    <t>Мероприятие 1.15.</t>
  </si>
  <si>
    <t>Мероприятие 1.16.</t>
  </si>
  <si>
    <t>отдых</t>
  </si>
  <si>
    <t>край</t>
  </si>
  <si>
    <t>внеб.</t>
  </si>
  <si>
    <t>мун.</t>
  </si>
  <si>
    <t>1.16.</t>
  </si>
  <si>
    <t>0120047050</t>
  </si>
  <si>
    <t>Обеспечение функционирования системы персонифицированного финансирования дополнительного образования детей</t>
  </si>
  <si>
    <t>0110053030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</si>
  <si>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</si>
  <si>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0130075870</t>
  </si>
  <si>
    <t>Мероприятие - Обеспечение функционирования системы персонифицированного финансирования дополнительного образования детей</t>
  </si>
  <si>
    <t>Работа "Методическое обеспечение образовательной деятельности"</t>
  </si>
  <si>
    <t>Количество мероприятий</t>
  </si>
  <si>
    <t>1854/7418</t>
  </si>
  <si>
    <t>3709/7418</t>
  </si>
  <si>
    <t xml:space="preserve">Доля детей в возрасте 5 – 18 лет (не включая 18 лет), имеющих право на получение дополнительного образования, в рамках системы персонифицированного финансирования , в общей численности детей в возрасте 5 – 18 лет </t>
  </si>
  <si>
    <t>2019 год факт</t>
  </si>
  <si>
    <t>2020 год оценка</t>
  </si>
  <si>
    <t>2023 год</t>
  </si>
  <si>
    <t>6926 / 8095</t>
  </si>
  <si>
    <t>6921  /  8095</t>
  </si>
  <si>
    <t>5405/7890</t>
  </si>
  <si>
    <t>5483/7890</t>
  </si>
  <si>
    <t>5715/8095</t>
  </si>
  <si>
    <t>6214/8242</t>
  </si>
  <si>
    <t>6474/8408</t>
  </si>
  <si>
    <t>73/221</t>
  </si>
  <si>
    <t>к муниципальной программе "Развитие образования города Назарово" на 2021 год и плановый период 2022-2023 годов</t>
  </si>
  <si>
    <t xml:space="preserve">Оплата стоимости набора продуктов питания или готовых блюд и их транспортировки в лагерях с дневным пребыванием детей </t>
  </si>
  <si>
    <t>Внедрена целевая модель цифровой образовательной среды в образовательных организациях, реализующих образовательные программы общего образования</t>
  </si>
  <si>
    <t>Отсутствие  цифровой образовательной среды в образовательных организациях, реализующих образовательные программы общего образования</t>
  </si>
  <si>
    <t>Создана универсальная безбарьерная среда для инклюзивного образования детей-инвалидов  в 5-ти  дошкольных образовательных и  2-ух общеобразовательных организациях</t>
  </si>
  <si>
    <t>Не создана универсальная безбарьерная среда для инклюзивного образования детей-инвалидов</t>
  </si>
  <si>
    <t>70,6 % детей в возрасте 5 – 18 лет, охвачено дополнительным образованием</t>
  </si>
  <si>
    <t>Внедрение и обеспечение функционирования системы персонифицированного финансирования дополнительного образования детей</t>
  </si>
  <si>
    <t>Система персонифицированного финансирования дополнительного образования детей не введена</t>
  </si>
  <si>
    <t>25% детей в возрасте от 5 до 18 лет  охвачено системой персонифицированного финансирования дополнительного образования детей</t>
  </si>
  <si>
    <t xml:space="preserve">Внедрение целевой модели цифровой образовательной среды в общеобразовательных организациях </t>
  </si>
  <si>
    <t>32,3% детей – сирот и детей, оставшихся без попечения родителей, находятся в приемных семьях</t>
  </si>
  <si>
    <t>Приобретение жилых помещений в муниципальную собственность, перевод их в специализированный жилищный фонд и предоставление по договорам найма лицам из числа детей-сирот оставшихся без попечения родителей за счет средств федерального и краевого бюджетов</t>
  </si>
  <si>
    <t>Объем капитальных вложений на 2022 год</t>
  </si>
  <si>
    <t>0/5586</t>
  </si>
  <si>
    <t>1.17.</t>
  </si>
  <si>
    <r>
      <rPr>
        <b/>
        <sz val="12"/>
        <rFont val="Times New Roman"/>
        <family val="1"/>
      </rPr>
      <t>Показатель результативности:</t>
    </r>
    <r>
      <rPr>
        <sz val="12"/>
        <rFont val="Times New Roman"/>
        <family val="1"/>
      </rPr>
      <t xml:space="preserve"> 6. Доля детей, получивших услугу по организации отдыха детей и их оздоровления, от общего количества детей от 7 до 17 лет, обучающихся в образовательных организациях</t>
    </r>
  </si>
  <si>
    <r>
      <rPr>
        <b/>
        <sz val="12"/>
        <rFont val="Times New Roman"/>
        <family val="1"/>
      </rPr>
      <t>Показатель результативности:</t>
    </r>
    <r>
      <rPr>
        <sz val="12"/>
        <rFont val="Times New Roman"/>
        <family val="1"/>
      </rPr>
      <t xml:space="preserve"> 7. 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  </r>
  </si>
  <si>
    <r>
      <rPr>
        <b/>
        <sz val="12"/>
        <rFont val="Times New Roman"/>
        <family val="1"/>
      </rPr>
      <t>Показатель результативности</t>
    </r>
    <r>
      <rPr>
        <sz val="12"/>
        <rFont val="Times New Roman"/>
        <family val="1"/>
      </rPr>
      <t>: 9. Доля детей в возрасте 5 – 18 лет, охваченных дополнительным образованием</t>
    </r>
  </si>
  <si>
    <r>
      <rPr>
        <b/>
        <sz val="12"/>
        <rFont val="Times New Roman"/>
        <family val="1"/>
      </rPr>
      <t>Показатель результативности</t>
    </r>
    <r>
      <rPr>
        <sz val="12"/>
        <rFont val="Times New Roman"/>
        <family val="1"/>
      </rPr>
      <t>: 10. Охват детей в возрасте от 5 до 18 лет, имеющих право на получение дополнительного образования в рамках системы персонифицированного финансирования – не менее 25%.</t>
    </r>
  </si>
  <si>
    <r>
      <rPr>
        <b/>
        <sz val="12"/>
        <rFont val="Times New Roman"/>
        <family val="1"/>
      </rPr>
      <t>Показатель результативности:</t>
    </r>
    <r>
      <rPr>
        <sz val="12"/>
        <rFont val="Times New Roman"/>
        <family val="1"/>
      </rPr>
      <t xml:space="preserve"> 11. Удельный вес детей – сирот и детей, оставшихся без попечения родителей, находящихся в приемных семьях, в общей численности  детей – сирот и детей, оставшихся без попечения родителей </t>
    </r>
  </si>
  <si>
    <r>
      <rPr>
        <b/>
        <sz val="12"/>
        <rFont val="Times New Roman"/>
        <family val="1"/>
      </rPr>
      <t>Показатель результативности</t>
    </r>
    <r>
      <rPr>
        <sz val="12"/>
        <rFont val="Times New Roman"/>
        <family val="1"/>
      </rPr>
      <t>: 12. Удельный вес детей - сирот и детей, оставшихся без попечения родителей, состоявших на учете на получение жилого помещения, обеспеченных жилыми помещениями за отчетный год, в общей численности детей-сирот и детей, оставшихся без попечения родителей, и лиц из их числа, состоящих на учете на получение жилого помещения</t>
    </r>
  </si>
  <si>
    <r>
      <rPr>
        <b/>
        <sz val="12"/>
        <rFont val="Times New Roman"/>
        <family val="1"/>
      </rPr>
      <t>Показатель результативности:</t>
    </r>
    <r>
      <rPr>
        <sz val="12"/>
        <rFont val="Times New Roman"/>
        <family val="1"/>
      </rPr>
      <t xml:space="preserve"> 13. Своевременное доведение управлением образования администрации г.Назарово лимитов бюджетных обязательств до подведомственных учреждений, предусмотренных решением о бюджете за отчетный год в первоначальной редакции</t>
    </r>
  </si>
  <si>
    <r>
      <rPr>
        <b/>
        <sz val="12"/>
        <rFont val="Times New Roman"/>
        <family val="1"/>
      </rPr>
      <t>Показатель результативности</t>
    </r>
    <r>
      <rPr>
        <sz val="12"/>
        <rFont val="Times New Roman"/>
        <family val="1"/>
      </rPr>
      <t>: 14. Соблюдение сроков предоставления годовой бюджетной отчетности</t>
    </r>
  </si>
  <si>
    <r>
      <rPr>
        <b/>
        <sz val="12"/>
        <rFont val="Times New Roman"/>
        <family val="1"/>
      </rPr>
      <t>Показатель результативности</t>
    </r>
    <r>
      <rPr>
        <sz val="12"/>
        <rFont val="Times New Roman"/>
        <family val="1"/>
      </rPr>
      <t>: 15.  Своевременность утверждения муниципальных заданий подведомственным управлению образования учреждениям на текущий финансовый год и плановый период в срок, установленный абзацем третьим пункта 3 Порядка и условий формирования муниципального задания в отношении муниципальных учреждений и финансового обеспечения выполнения муниципального задания, утвержденного постановлением администрации г.Назарово от 21.09.2015 № 1649-п</t>
    </r>
  </si>
  <si>
    <r>
      <rPr>
        <b/>
        <sz val="12"/>
        <rFont val="Times New Roman"/>
        <family val="1"/>
      </rPr>
      <t>Показатель результативности:</t>
    </r>
    <r>
      <rPr>
        <sz val="12"/>
        <rFont val="Times New Roman"/>
        <family val="1"/>
      </rPr>
      <t xml:space="preserve"> 5. Доля детей, включенных в различные виды занятости (походы,трудовые отряды старшеклассников,интенсивные школы,экскурсии), от общего количества детей ввозрасте от 7 до 17 лет,обучающихся в образовательных организация</t>
    </r>
  </si>
  <si>
    <t>1855/5586</t>
  </si>
  <si>
    <t>1964/5777</t>
  </si>
  <si>
    <t>2066/5902</t>
  </si>
  <si>
    <t>5/11</t>
  </si>
  <si>
    <t>6/11</t>
  </si>
  <si>
    <t>14/172</t>
  </si>
  <si>
    <t>13/158</t>
  </si>
  <si>
    <t>24/134</t>
  </si>
  <si>
    <t>12/66</t>
  </si>
  <si>
    <t>Аленка, №6, Тополек, Калинк, Катюша, Росинка</t>
  </si>
  <si>
    <t xml:space="preserve">В 2-ух общеобразовательных организациях внедрена целевая модель цифровой образовательной среды </t>
  </si>
  <si>
    <t xml:space="preserve">13 человек из числа детей-сирот оставшихся без попечения родителей будут обеспечены жильем </t>
  </si>
  <si>
    <t>8,2% детей - сирот и детей, оставшихся без попечения родителей, состоявших на учете на получение жилого помещения, обеспеченны жилыми помещениями за отчетный год</t>
  </si>
  <si>
    <t>01100L3040</t>
  </si>
  <si>
    <t>2257/5643</t>
  </si>
  <si>
    <t>2340/5777</t>
  </si>
  <si>
    <t>2420/5902</t>
  </si>
  <si>
    <t>6936 / 8095</t>
  </si>
  <si>
    <t>7056 / 8222</t>
  </si>
  <si>
    <t>0/227</t>
  </si>
  <si>
    <t>1/227</t>
  </si>
  <si>
    <t>587/1297</t>
  </si>
  <si>
    <t>5028/5902</t>
  </si>
  <si>
    <t>5035/5902</t>
  </si>
  <si>
    <t>2267/5643</t>
  </si>
  <si>
    <r>
      <rPr>
        <b/>
        <sz val="12"/>
        <rFont val="Times New Roman"/>
        <family val="1"/>
      </rPr>
      <t>Показатель результативности: 8.</t>
    </r>
    <r>
      <rPr>
        <sz val="12"/>
        <rFont val="Times New Roman"/>
        <family val="1"/>
      </rPr>
      <t xml:space="preserve"> Количество услуг психолого-педагогической, методической и консультационной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</t>
    </r>
  </si>
  <si>
    <t>240+270</t>
  </si>
  <si>
    <t>240+270+270</t>
  </si>
  <si>
    <t>240+270+270+320</t>
  </si>
  <si>
    <t>240+270+270+320+320</t>
  </si>
  <si>
    <t>3928/5610</t>
  </si>
  <si>
    <t>4908/5777</t>
  </si>
  <si>
    <t>85,7% детей в возрасте 5-18 лет, в общей численности населения данного возраста будет охваченно общим образованием</t>
  </si>
  <si>
    <t>45,1%  детей в возрасте от 2 месяцев до 3 лет  будет предоставлена возможность получать услуги дошкольного образования</t>
  </si>
  <si>
    <t>85,7% обучающихся , занимаются в первую смену, в  общеобразовательных организациях</t>
  </si>
  <si>
    <t xml:space="preserve">85,7% детей в возрасте 5-18 лет, в общей численности населения данного возраста будет охваченно образованием; </t>
  </si>
  <si>
    <t>45,1%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организаций;                                                                                                   22,2% общеобразовательных организаций, в которых создана универсальная безбарьерная среда для инклюзивного образования детей-инвалидов</t>
  </si>
  <si>
    <t xml:space="preserve">33,2 %  детей школьного возраста оздоровлено в летний период </t>
  </si>
  <si>
    <t>к постановлению администрации г.Назарово</t>
  </si>
  <si>
    <t>от ___________2021    № ________-п</t>
  </si>
  <si>
    <t>Софинансирование организации и обеспечения обучающихся по образовательным программам начальногообщего образования в муниципальных образовательных организациях, за исключением обучающихся с ОВЗ, бесплатным горячим питанием, предусматривающим наличие горячего блюда, не считая горячего напитка</t>
  </si>
  <si>
    <t xml:space="preserve">Обеспечение образовательных организаций материально-технической базой для внедрения целевой модели цифровой образовательной среды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</si>
  <si>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</si>
  <si>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Приведение зданий и сооружений общеобразовательных организаций в соответствие требованиями законодательства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</si>
  <si>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</si>
  <si>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01100S8400</t>
  </si>
  <si>
    <t>Проведение мероприятий, направленных на обеспечение безопасного участия детей в дорожном движении,</t>
  </si>
  <si>
    <t>Мероприятие 1.17.</t>
  </si>
  <si>
    <t>011R373980</t>
  </si>
  <si>
    <t>Мероприятие 1.18.</t>
  </si>
  <si>
    <t>Проведение мероприятий для детей и молодежи</t>
  </si>
  <si>
    <t>Осуществление государственых полномочий по обеспечению отдыха и  оздоровления детей</t>
  </si>
  <si>
    <t>Мероприятие 4.4.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</si>
</sst>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_р_."/>
    <numFmt numFmtId="179" formatCode="[$-FC19]d\ mmmm\ yyyy\ &quot;г.&quot;"/>
    <numFmt numFmtId="180" formatCode="0.000"/>
    <numFmt numFmtId="181" formatCode="0.0000"/>
    <numFmt numFmtId="182" formatCode="#,##0.00000_р_."/>
    <numFmt numFmtId="183" formatCode="#,##0.000_р_."/>
    <numFmt numFmtId="184" formatCode="#,##0.0000_р_."/>
    <numFmt numFmtId="185" formatCode="#,##0.00000"/>
    <numFmt numFmtId="186" formatCode="#,##0.000"/>
    <numFmt numFmtId="187" formatCode="#,##0.0_р_."/>
    <numFmt numFmtId="188" formatCode="#,##0.000000_р_."/>
    <numFmt numFmtId="189" formatCode="#,##0.0000000_р_."/>
    <numFmt numFmtId="190" formatCode="#,##0.00000000_р_."/>
    <numFmt numFmtId="191" formatCode="#,##0.000000000_р_."/>
    <numFmt numFmtId="192" formatCode="#,##0.0000000000_р_."/>
    <numFmt numFmtId="193" formatCode="0.00000"/>
  </numFmts>
  <fonts count="63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i/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6"/>
      <color rgb="FFFF0000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0" fontId="2" fillId="2" borderId="0" xfId="0" applyFont="1" applyFill="1" applyAlignment="1">
      <alignment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/>
    </xf>
    <xf numFmtId="0" fontId="5" fillId="33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6" borderId="0" xfId="0" applyFont="1" applyFill="1" applyAlignment="1">
      <alignment/>
    </xf>
    <xf numFmtId="0" fontId="7" fillId="6" borderId="10" xfId="0" applyFont="1" applyFill="1" applyBorder="1" applyAlignment="1">
      <alignment vertical="top" wrapText="1"/>
    </xf>
    <xf numFmtId="49" fontId="5" fillId="6" borderId="10" xfId="0" applyNumberFormat="1" applyFont="1" applyFill="1" applyBorder="1" applyAlignment="1">
      <alignment horizontal="center" vertical="top"/>
    </xf>
    <xf numFmtId="0" fontId="5" fillId="6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178" fontId="0" fillId="0" borderId="11" xfId="0" applyNumberForma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78" fontId="0" fillId="0" borderId="13" xfId="0" applyNumberFormat="1" applyBorder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8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14" fontId="56" fillId="0" borderId="10" xfId="0" applyNumberFormat="1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/>
    </xf>
    <xf numFmtId="182" fontId="8" fillId="6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8" fillId="6" borderId="10" xfId="0" applyFont="1" applyFill="1" applyBorder="1" applyAlignment="1">
      <alignment vertical="top" wrapText="1"/>
    </xf>
    <xf numFmtId="182" fontId="5" fillId="0" borderId="13" xfId="0" applyNumberFormat="1" applyFont="1" applyBorder="1" applyAlignment="1">
      <alignment/>
    </xf>
    <xf numFmtId="182" fontId="5" fillId="0" borderId="25" xfId="0" applyNumberFormat="1" applyFont="1" applyBorder="1" applyAlignment="1">
      <alignment/>
    </xf>
    <xf numFmtId="182" fontId="5" fillId="0" borderId="26" xfId="0" applyNumberFormat="1" applyFont="1" applyBorder="1" applyAlignment="1">
      <alignment/>
    </xf>
    <xf numFmtId="182" fontId="8" fillId="6" borderId="26" xfId="0" applyNumberFormat="1" applyFont="1" applyFill="1" applyBorder="1" applyAlignment="1">
      <alignment/>
    </xf>
    <xf numFmtId="182" fontId="0" fillId="0" borderId="13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4" fillId="0" borderId="10" xfId="0" applyNumberFormat="1" applyFont="1" applyBorder="1" applyAlignment="1">
      <alignment vertical="center"/>
    </xf>
    <xf numFmtId="0" fontId="56" fillId="0" borderId="27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vertical="center" wrapText="1"/>
    </xf>
    <xf numFmtId="0" fontId="5" fillId="0" borderId="31" xfId="0" applyFont="1" applyBorder="1" applyAlignment="1">
      <alignment/>
    </xf>
    <xf numFmtId="182" fontId="5" fillId="33" borderId="10" xfId="0" applyNumberFormat="1" applyFont="1" applyFill="1" applyBorder="1" applyAlignment="1">
      <alignment/>
    </xf>
    <xf numFmtId="182" fontId="5" fillId="33" borderId="10" xfId="0" applyNumberFormat="1" applyFont="1" applyFill="1" applyBorder="1" applyAlignment="1">
      <alignment horizontal="center"/>
    </xf>
    <xf numFmtId="182" fontId="5" fillId="33" borderId="10" xfId="0" applyNumberFormat="1" applyFont="1" applyFill="1" applyBorder="1" applyAlignment="1">
      <alignment/>
    </xf>
    <xf numFmtId="182" fontId="5" fillId="33" borderId="10" xfId="0" applyNumberFormat="1" applyFont="1" applyFill="1" applyBorder="1" applyAlignment="1">
      <alignment horizontal="right" vertical="center"/>
    </xf>
    <xf numFmtId="182" fontId="5" fillId="33" borderId="10" xfId="0" applyNumberFormat="1" applyFont="1" applyFill="1" applyBorder="1" applyAlignment="1">
      <alignment vertic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2" xfId="0" applyFont="1" applyBorder="1" applyAlignment="1">
      <alignment horizontal="right" wrapText="1"/>
    </xf>
    <xf numFmtId="182" fontId="0" fillId="0" borderId="25" xfId="0" applyNumberFormat="1" applyBorder="1" applyAlignment="1">
      <alignment/>
    </xf>
    <xf numFmtId="0" fontId="7" fillId="0" borderId="19" xfId="0" applyFont="1" applyBorder="1" applyAlignment="1">
      <alignment/>
    </xf>
    <xf numFmtId="182" fontId="0" fillId="0" borderId="26" xfId="0" applyNumberFormat="1" applyBorder="1" applyAlignment="1">
      <alignment/>
    </xf>
    <xf numFmtId="0" fontId="5" fillId="0" borderId="19" xfId="0" applyFont="1" applyBorder="1" applyAlignment="1">
      <alignment wrapText="1"/>
    </xf>
    <xf numFmtId="182" fontId="0" fillId="0" borderId="14" xfId="0" applyNumberFormat="1" applyBorder="1" applyAlignment="1">
      <alignment/>
    </xf>
    <xf numFmtId="183" fontId="0" fillId="33" borderId="11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183" fontId="0" fillId="33" borderId="10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 horizontal="center"/>
    </xf>
    <xf numFmtId="178" fontId="0" fillId="33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80" fontId="5" fillId="33" borderId="0" xfId="0" applyNumberFormat="1" applyFont="1" applyFill="1" applyAlignment="1">
      <alignment/>
    </xf>
    <xf numFmtId="182" fontId="5" fillId="0" borderId="0" xfId="0" applyNumberFormat="1" applyFont="1" applyAlignment="1">
      <alignment/>
    </xf>
    <xf numFmtId="185" fontId="0" fillId="0" borderId="0" xfId="0" applyNumberFormat="1" applyAlignment="1">
      <alignment/>
    </xf>
    <xf numFmtId="182" fontId="0" fillId="0" borderId="12" xfId="0" applyNumberFormat="1" applyFill="1" applyBorder="1" applyAlignment="1">
      <alignment/>
    </xf>
    <xf numFmtId="0" fontId="2" fillId="33" borderId="0" xfId="0" applyFont="1" applyFill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16" fontId="2" fillId="33" borderId="10" xfId="0" applyNumberFormat="1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177" fontId="3" fillId="34" borderId="1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wrapText="1"/>
    </xf>
    <xf numFmtId="0" fontId="60" fillId="33" borderId="0" xfId="0" applyFont="1" applyFill="1" applyAlignment="1">
      <alignment wrapText="1"/>
    </xf>
    <xf numFmtId="0" fontId="60" fillId="3" borderId="10" xfId="0" applyFont="1" applyFill="1" applyBorder="1" applyAlignment="1">
      <alignment wrapText="1"/>
    </xf>
    <xf numFmtId="177" fontId="3" fillId="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182" fontId="12" fillId="0" borderId="26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185" fontId="5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82" fontId="5" fillId="33" borderId="10" xfId="0" applyNumberFormat="1" applyFont="1" applyFill="1" applyBorder="1" applyAlignment="1">
      <alignment horizontal="center" vertical="center"/>
    </xf>
    <xf numFmtId="182" fontId="5" fillId="0" borderId="26" xfId="0" applyNumberFormat="1" applyFont="1" applyBorder="1" applyAlignment="1">
      <alignment vertical="center"/>
    </xf>
    <xf numFmtId="0" fontId="59" fillId="6" borderId="0" xfId="0" applyFont="1" applyFill="1" applyAlignment="1">
      <alignment/>
    </xf>
    <xf numFmtId="0" fontId="59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178" fontId="0" fillId="33" borderId="26" xfId="0" applyNumberForma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33" borderId="35" xfId="0" applyFont="1" applyFill="1" applyBorder="1" applyAlignment="1">
      <alignment/>
    </xf>
    <xf numFmtId="178" fontId="0" fillId="33" borderId="35" xfId="0" applyNumberFormat="1" applyFill="1" applyBorder="1" applyAlignment="1">
      <alignment/>
    </xf>
    <xf numFmtId="178" fontId="0" fillId="33" borderId="36" xfId="0" applyNumberFormat="1" applyFill="1" applyBorder="1" applyAlignment="1">
      <alignment/>
    </xf>
    <xf numFmtId="0" fontId="6" fillId="33" borderId="37" xfId="0" applyFont="1" applyFill="1" applyBorder="1" applyAlignment="1">
      <alignment wrapText="1"/>
    </xf>
    <xf numFmtId="183" fontId="0" fillId="33" borderId="26" xfId="0" applyNumberFormat="1" applyFill="1" applyBorder="1" applyAlignment="1">
      <alignment/>
    </xf>
    <xf numFmtId="178" fontId="0" fillId="33" borderId="38" xfId="0" applyNumberFormat="1" applyFont="1" applyFill="1" applyBorder="1" applyAlignment="1">
      <alignment horizontal="center"/>
    </xf>
    <xf numFmtId="186" fontId="0" fillId="33" borderId="0" xfId="0" applyNumberFormat="1" applyFill="1" applyAlignment="1">
      <alignment/>
    </xf>
    <xf numFmtId="180" fontId="0" fillId="33" borderId="0" xfId="0" applyNumberFormat="1" applyFill="1" applyAlignment="1">
      <alignment/>
    </xf>
    <xf numFmtId="182" fontId="0" fillId="0" borderId="0" xfId="0" applyNumberFormat="1" applyAlignment="1">
      <alignment/>
    </xf>
    <xf numFmtId="0" fontId="5" fillId="0" borderId="39" xfId="0" applyFont="1" applyBorder="1" applyAlignment="1">
      <alignment/>
    </xf>
    <xf numFmtId="0" fontId="6" fillId="33" borderId="38" xfId="0" applyFont="1" applyFill="1" applyBorder="1" applyAlignment="1">
      <alignment wrapText="1"/>
    </xf>
    <xf numFmtId="178" fontId="0" fillId="33" borderId="38" xfId="0" applyNumberFormat="1" applyFont="1" applyFill="1" applyBorder="1" applyAlignment="1">
      <alignment/>
    </xf>
    <xf numFmtId="178" fontId="0" fillId="33" borderId="40" xfId="0" applyNumberFormat="1" applyFont="1" applyFill="1" applyBorder="1" applyAlignment="1">
      <alignment/>
    </xf>
    <xf numFmtId="182" fontId="0" fillId="3" borderId="0" xfId="0" applyNumberFormat="1" applyFont="1" applyFill="1" applyAlignment="1">
      <alignment/>
    </xf>
    <xf numFmtId="185" fontId="0" fillId="3" borderId="0" xfId="0" applyNumberFormat="1" applyFont="1" applyFill="1" applyAlignment="1">
      <alignment/>
    </xf>
    <xf numFmtId="187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0" fillId="33" borderId="12" xfId="0" applyNumberFormat="1" applyFont="1" applyFill="1" applyBorder="1" applyAlignment="1">
      <alignment horizontal="center"/>
    </xf>
    <xf numFmtId="182" fontId="12" fillId="34" borderId="10" xfId="0" applyNumberFormat="1" applyFont="1" applyFill="1" applyBorder="1" applyAlignment="1">
      <alignment/>
    </xf>
    <xf numFmtId="182" fontId="12" fillId="34" borderId="26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Border="1" applyAlignment="1">
      <alignment wrapText="1"/>
    </xf>
    <xf numFmtId="178" fontId="0" fillId="33" borderId="0" xfId="0" applyNumberFormat="1" applyFill="1" applyBorder="1" applyAlignment="1">
      <alignment horizontal="center"/>
    </xf>
    <xf numFmtId="178" fontId="0" fillId="33" borderId="0" xfId="0" applyNumberFormat="1" applyFont="1" applyFill="1" applyBorder="1" applyAlignment="1">
      <alignment horizontal="center"/>
    </xf>
    <xf numFmtId="178" fontId="0" fillId="33" borderId="14" xfId="0" applyNumberFormat="1" applyFont="1" applyFill="1" applyBorder="1" applyAlignment="1">
      <alignment horizontal="center"/>
    </xf>
    <xf numFmtId="178" fontId="0" fillId="33" borderId="24" xfId="0" applyNumberFormat="1" applyFont="1" applyFill="1" applyBorder="1" applyAlignment="1">
      <alignment horizontal="center"/>
    </xf>
    <xf numFmtId="182" fontId="5" fillId="33" borderId="26" xfId="0" applyNumberFormat="1" applyFont="1" applyFill="1" applyBorder="1" applyAlignment="1">
      <alignment/>
    </xf>
    <xf numFmtId="0" fontId="5" fillId="0" borderId="38" xfId="0" applyFont="1" applyBorder="1" applyAlignment="1">
      <alignment horizontal="left" vertical="center" wrapText="1"/>
    </xf>
    <xf numFmtId="0" fontId="61" fillId="34" borderId="0" xfId="0" applyFont="1" applyFill="1" applyAlignment="1">
      <alignment wrapText="1"/>
    </xf>
    <xf numFmtId="0" fontId="61" fillId="0" borderId="0" xfId="0" applyFont="1" applyAlignment="1">
      <alignment wrapText="1"/>
    </xf>
    <xf numFmtId="0" fontId="61" fillId="34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3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wrapText="1"/>
    </xf>
    <xf numFmtId="49" fontId="61" fillId="34" borderId="10" xfId="0" applyNumberFormat="1" applyFont="1" applyFill="1" applyBorder="1" applyAlignment="1">
      <alignment wrapText="1"/>
    </xf>
    <xf numFmtId="49" fontId="61" fillId="33" borderId="10" xfId="0" applyNumberFormat="1" applyFont="1" applyFill="1" applyBorder="1" applyAlignment="1">
      <alignment wrapText="1"/>
    </xf>
    <xf numFmtId="177" fontId="3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wrapText="1"/>
    </xf>
    <xf numFmtId="0" fontId="61" fillId="35" borderId="10" xfId="0" applyFont="1" applyFill="1" applyBorder="1" applyAlignment="1">
      <alignment wrapText="1"/>
    </xf>
    <xf numFmtId="0" fontId="57" fillId="0" borderId="38" xfId="0" applyFont="1" applyBorder="1" applyAlignment="1">
      <alignment horizontal="left" vertical="center" wrapText="1"/>
    </xf>
    <xf numFmtId="0" fontId="57" fillId="0" borderId="38" xfId="0" applyFont="1" applyBorder="1" applyAlignment="1">
      <alignment horizontal="center" vertical="center" wrapText="1"/>
    </xf>
    <xf numFmtId="14" fontId="56" fillId="0" borderId="38" xfId="0" applyNumberFormat="1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78" fontId="0" fillId="33" borderId="11" xfId="0" applyNumberFormat="1" applyFill="1" applyBorder="1" applyAlignment="1">
      <alignment/>
    </xf>
    <xf numFmtId="178" fontId="0" fillId="33" borderId="38" xfId="0" applyNumberFormat="1" applyFill="1" applyBorder="1" applyAlignment="1">
      <alignment/>
    </xf>
    <xf numFmtId="187" fontId="0" fillId="33" borderId="10" xfId="0" applyNumberFormat="1" applyFon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78" fontId="0" fillId="33" borderId="10" xfId="0" applyNumberFormat="1" applyFill="1" applyBorder="1" applyAlignment="1">
      <alignment horizontal="center"/>
    </xf>
    <xf numFmtId="178" fontId="0" fillId="33" borderId="11" xfId="0" applyNumberForma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56" fillId="0" borderId="0" xfId="0" applyFont="1" applyAlignment="1">
      <alignment/>
    </xf>
    <xf numFmtId="182" fontId="12" fillId="6" borderId="10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182" fontId="12" fillId="2" borderId="10" xfId="0" applyNumberFormat="1" applyFont="1" applyFill="1" applyBorder="1" applyAlignment="1">
      <alignment/>
    </xf>
    <xf numFmtId="182" fontId="12" fillId="4" borderId="10" xfId="0" applyNumberFormat="1" applyFont="1" applyFill="1" applyBorder="1" applyAlignment="1">
      <alignment/>
    </xf>
    <xf numFmtId="182" fontId="12" fillId="4" borderId="26" xfId="0" applyNumberFormat="1" applyFont="1" applyFill="1" applyBorder="1" applyAlignment="1">
      <alignment/>
    </xf>
    <xf numFmtId="182" fontId="12" fillId="4" borderId="10" xfId="0" applyNumberFormat="1" applyFont="1" applyFill="1" applyBorder="1" applyAlignment="1">
      <alignment horizontal="center"/>
    </xf>
    <xf numFmtId="182" fontId="12" fillId="4" borderId="26" xfId="0" applyNumberFormat="1" applyFont="1" applyFill="1" applyBorder="1" applyAlignment="1">
      <alignment horizontal="center"/>
    </xf>
    <xf numFmtId="185" fontId="5" fillId="4" borderId="0" xfId="0" applyNumberFormat="1" applyFont="1" applyFill="1" applyAlignment="1">
      <alignment/>
    </xf>
    <xf numFmtId="193" fontId="5" fillId="0" borderId="0" xfId="0" applyNumberFormat="1" applyFont="1" applyAlignment="1">
      <alignment/>
    </xf>
    <xf numFmtId="193" fontId="5" fillId="33" borderId="0" xfId="0" applyNumberFormat="1" applyFont="1" applyFill="1" applyAlignment="1">
      <alignment/>
    </xf>
    <xf numFmtId="193" fontId="5" fillId="4" borderId="0" xfId="0" applyNumberFormat="1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wrapText="1"/>
    </xf>
    <xf numFmtId="182" fontId="12" fillId="35" borderId="10" xfId="0" applyNumberFormat="1" applyFont="1" applyFill="1" applyBorder="1" applyAlignment="1">
      <alignment/>
    </xf>
    <xf numFmtId="185" fontId="0" fillId="35" borderId="0" xfId="0" applyNumberFormat="1" applyFont="1" applyFill="1" applyAlignment="1">
      <alignment/>
    </xf>
    <xf numFmtId="182" fontId="12" fillId="35" borderId="10" xfId="0" applyNumberFormat="1" applyFont="1" applyFill="1" applyBorder="1" applyAlignment="1">
      <alignment horizontal="center"/>
    </xf>
    <xf numFmtId="185" fontId="5" fillId="36" borderId="0" xfId="0" applyNumberFormat="1" applyFont="1" applyFill="1" applyAlignment="1">
      <alignment/>
    </xf>
    <xf numFmtId="193" fontId="5" fillId="37" borderId="0" xfId="0" applyNumberFormat="1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11" fillId="33" borderId="10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2" fillId="0" borderId="45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left" vertical="center" wrapText="1"/>
    </xf>
    <xf numFmtId="0" fontId="57" fillId="0" borderId="2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178" fontId="0" fillId="33" borderId="38" xfId="0" applyNumberFormat="1" applyFill="1" applyBorder="1" applyAlignment="1">
      <alignment horizontal="center" vertical="center"/>
    </xf>
    <xf numFmtId="178" fontId="0" fillId="33" borderId="27" xfId="0" applyNumberForma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5" fillId="34" borderId="50" xfId="0" applyNumberFormat="1" applyFont="1" applyFill="1" applyBorder="1" applyAlignment="1">
      <alignment horizontal="center" vertical="center"/>
    </xf>
    <xf numFmtId="49" fontId="5" fillId="34" borderId="51" xfId="0" applyNumberFormat="1" applyFont="1" applyFill="1" applyBorder="1" applyAlignment="1">
      <alignment horizontal="center" vertical="center"/>
    </xf>
    <xf numFmtId="49" fontId="5" fillId="34" borderId="5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36"/>
  <sheetViews>
    <sheetView tabSelected="1" view="pageBreakPreview" zoomScale="80" zoomScaleNormal="80" zoomScaleSheetLayoutView="80" workbookViewId="0" topLeftCell="A1">
      <pane xSplit="4" ySplit="13" topLeftCell="E2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23" sqref="B23"/>
    </sheetView>
  </sheetViews>
  <sheetFormatPr defaultColWidth="9.00390625" defaultRowHeight="12.75" outlineLevelCol="1"/>
  <cols>
    <col min="1" max="1" width="4.75390625" style="117" customWidth="1"/>
    <col min="2" max="2" width="101.125" style="117" customWidth="1"/>
    <col min="3" max="3" width="6.00390625" style="117" customWidth="1"/>
    <col min="4" max="6" width="13.125" style="117" customWidth="1"/>
    <col min="7" max="8" width="11.875" style="117" customWidth="1"/>
    <col min="9" max="9" width="11.625" style="117" customWidth="1"/>
    <col min="10" max="10" width="11.00390625" style="122" hidden="1" customWidth="1" outlineLevel="1"/>
    <col min="11" max="11" width="11.375" style="122" hidden="1" customWidth="1" outlineLevel="1"/>
    <col min="12" max="12" width="12.25390625" style="127" hidden="1" customWidth="1" outlineLevel="1"/>
    <col min="13" max="13" width="9.00390625" style="127" hidden="1" customWidth="1" outlineLevel="1"/>
    <col min="14" max="14" width="10.00390625" style="127" hidden="1" customWidth="1" outlineLevel="1"/>
    <col min="15" max="15" width="8.25390625" style="117" customWidth="1" collapsed="1"/>
    <col min="16" max="16" width="16.125" style="181" hidden="1" customWidth="1" outlineLevel="1"/>
    <col min="17" max="17" width="15.125" style="181" hidden="1" customWidth="1" outlineLevel="1"/>
    <col min="18" max="20" width="15.75390625" style="182" hidden="1" customWidth="1" outlineLevel="1"/>
    <col min="21" max="21" width="9.125" style="2" hidden="1" customWidth="1" outlineLevel="1"/>
    <col min="22" max="22" width="9.125" style="2" customWidth="1" collapsed="1"/>
    <col min="23" max="16384" width="9.125" style="2" customWidth="1"/>
  </cols>
  <sheetData>
    <row r="1" spans="6:9" ht="20.25">
      <c r="F1" s="214" t="s">
        <v>15</v>
      </c>
      <c r="G1" s="144"/>
      <c r="H1" s="144"/>
      <c r="I1" s="144"/>
    </row>
    <row r="2" spans="6:9" ht="14.25" customHeight="1">
      <c r="F2" s="214" t="s">
        <v>419</v>
      </c>
      <c r="G2" s="217"/>
      <c r="H2" s="217"/>
      <c r="I2" s="217"/>
    </row>
    <row r="3" spans="6:9" ht="14.25" customHeight="1">
      <c r="F3" s="234" t="s">
        <v>420</v>
      </c>
      <c r="G3" s="234"/>
      <c r="H3" s="234"/>
      <c r="I3" s="234"/>
    </row>
    <row r="4" spans="6:9" ht="14.25" customHeight="1">
      <c r="F4" s="217"/>
      <c r="G4" s="217"/>
      <c r="H4" s="217"/>
      <c r="I4" s="217"/>
    </row>
    <row r="5" spans="2:9" ht="20.25">
      <c r="B5" s="199"/>
      <c r="E5" s="234" t="s">
        <v>15</v>
      </c>
      <c r="F5" s="234"/>
      <c r="G5" s="234"/>
      <c r="H5" s="234"/>
      <c r="I5" s="234"/>
    </row>
    <row r="6" spans="5:9" ht="32.25" customHeight="1">
      <c r="E6" s="234" t="s">
        <v>355</v>
      </c>
      <c r="F6" s="234"/>
      <c r="G6" s="234"/>
      <c r="H6" s="234"/>
      <c r="I6" s="234"/>
    </row>
    <row r="7" spans="1:20" s="1" customFormat="1" ht="27.75" customHeight="1">
      <c r="A7" s="239" t="s">
        <v>35</v>
      </c>
      <c r="B7" s="239"/>
      <c r="C7" s="239"/>
      <c r="D7" s="239"/>
      <c r="E7" s="239"/>
      <c r="F7" s="239"/>
      <c r="G7" s="239"/>
      <c r="H7" s="239"/>
      <c r="I7" s="239"/>
      <c r="J7" s="123"/>
      <c r="K7" s="123"/>
      <c r="L7" s="128"/>
      <c r="M7" s="128"/>
      <c r="N7" s="128"/>
      <c r="O7" s="212"/>
      <c r="P7" s="183"/>
      <c r="Q7" s="183"/>
      <c r="R7" s="184"/>
      <c r="S7" s="184"/>
      <c r="T7" s="184"/>
    </row>
    <row r="8" spans="1:20" s="1" customFormat="1" ht="19.5" customHeight="1">
      <c r="A8" s="239" t="s">
        <v>96</v>
      </c>
      <c r="B8" s="239"/>
      <c r="C8" s="239"/>
      <c r="D8" s="239"/>
      <c r="E8" s="239"/>
      <c r="F8" s="239"/>
      <c r="G8" s="239"/>
      <c r="H8" s="239"/>
      <c r="I8" s="239"/>
      <c r="J8" s="123">
        <f>2/13*100</f>
        <v>15.384615384615385</v>
      </c>
      <c r="K8" s="123"/>
      <c r="L8" s="128"/>
      <c r="M8" s="128"/>
      <c r="N8" s="128"/>
      <c r="O8" s="212"/>
      <c r="P8" s="183"/>
      <c r="Q8" s="183"/>
      <c r="R8" s="184"/>
      <c r="S8" s="184"/>
      <c r="T8" s="184"/>
    </row>
    <row r="10" spans="1:16" ht="40.5">
      <c r="A10" s="237" t="s">
        <v>0</v>
      </c>
      <c r="B10" s="238" t="s">
        <v>32</v>
      </c>
      <c r="C10" s="238" t="s">
        <v>1</v>
      </c>
      <c r="D10" s="238" t="s">
        <v>93</v>
      </c>
      <c r="E10" s="238" t="s">
        <v>94</v>
      </c>
      <c r="F10" s="238" t="s">
        <v>95</v>
      </c>
      <c r="G10" s="238"/>
      <c r="H10" s="238"/>
      <c r="I10" s="238"/>
      <c r="J10" s="124"/>
      <c r="K10" s="124"/>
      <c r="L10" s="236" t="s">
        <v>264</v>
      </c>
      <c r="M10" s="236"/>
      <c r="N10" s="236"/>
      <c r="P10" s="181" t="s">
        <v>284</v>
      </c>
    </row>
    <row r="11" spans="1:20" s="10" customFormat="1" ht="55.5" customHeight="1">
      <c r="A11" s="237"/>
      <c r="B11" s="238"/>
      <c r="C11" s="238"/>
      <c r="D11" s="238"/>
      <c r="E11" s="238"/>
      <c r="F11" s="200" t="s">
        <v>242</v>
      </c>
      <c r="G11" s="200" t="s">
        <v>249</v>
      </c>
      <c r="H11" s="200" t="s">
        <v>280</v>
      </c>
      <c r="I11" s="200" t="s">
        <v>346</v>
      </c>
      <c r="J11" s="125" t="s">
        <v>344</v>
      </c>
      <c r="K11" s="125" t="s">
        <v>345</v>
      </c>
      <c r="L11" s="129" t="s">
        <v>249</v>
      </c>
      <c r="M11" s="129" t="s">
        <v>280</v>
      </c>
      <c r="N11" s="129" t="s">
        <v>346</v>
      </c>
      <c r="O11" s="117"/>
      <c r="P11" s="185" t="s">
        <v>344</v>
      </c>
      <c r="Q11" s="185" t="s">
        <v>345</v>
      </c>
      <c r="R11" s="186" t="s">
        <v>249</v>
      </c>
      <c r="S11" s="186" t="s">
        <v>280</v>
      </c>
      <c r="T11" s="186" t="s">
        <v>346</v>
      </c>
    </row>
    <row r="12" spans="1:14" ht="20.25">
      <c r="A12" s="235" t="s">
        <v>33</v>
      </c>
      <c r="B12" s="235"/>
      <c r="C12" s="235"/>
      <c r="D12" s="235"/>
      <c r="E12" s="235"/>
      <c r="F12" s="235"/>
      <c r="G12" s="235"/>
      <c r="H12" s="235"/>
      <c r="I12" s="235"/>
      <c r="J12" s="125"/>
      <c r="K12" s="125"/>
      <c r="L12" s="130"/>
      <c r="M12" s="130"/>
      <c r="N12" s="130"/>
    </row>
    <row r="13" spans="1:14" ht="20.25">
      <c r="A13" s="235" t="s">
        <v>240</v>
      </c>
      <c r="B13" s="235"/>
      <c r="C13" s="235"/>
      <c r="D13" s="235"/>
      <c r="E13" s="235"/>
      <c r="F13" s="235"/>
      <c r="G13" s="235"/>
      <c r="H13" s="235"/>
      <c r="I13" s="235"/>
      <c r="J13" s="125"/>
      <c r="K13" s="125"/>
      <c r="L13" s="130"/>
      <c r="M13" s="130"/>
      <c r="N13" s="130"/>
    </row>
    <row r="14" spans="1:20" s="117" customFormat="1" ht="40.5">
      <c r="A14" s="120" t="s">
        <v>25</v>
      </c>
      <c r="B14" s="201" t="s">
        <v>265</v>
      </c>
      <c r="C14" s="202" t="s">
        <v>7</v>
      </c>
      <c r="D14" s="200" t="s">
        <v>241</v>
      </c>
      <c r="E14" s="202" t="s">
        <v>97</v>
      </c>
      <c r="F14" s="203">
        <f>6926/8095*100</f>
        <v>85.55898702903026</v>
      </c>
      <c r="G14" s="203">
        <f>6936/8095*100</f>
        <v>85.68252007411982</v>
      </c>
      <c r="H14" s="203">
        <f>(7056/8222)*100</f>
        <v>85.81853563609828</v>
      </c>
      <c r="I14" s="203">
        <f>(7208/8382)*100</f>
        <v>85.9937962300167</v>
      </c>
      <c r="J14" s="126">
        <f>6921/8095*100</f>
        <v>85.49722050648548</v>
      </c>
      <c r="K14" s="126">
        <f>6926/8095*100</f>
        <v>85.55898702903026</v>
      </c>
      <c r="L14" s="133">
        <f>6926/8095*100</f>
        <v>85.55898702903026</v>
      </c>
      <c r="M14" s="133">
        <f>(7046/8222)*100</f>
        <v>85.69691072731696</v>
      </c>
      <c r="N14" s="133">
        <f>(7208/8382)*100</f>
        <v>85.9937962300167</v>
      </c>
      <c r="P14" s="187" t="s">
        <v>348</v>
      </c>
      <c r="Q14" s="187" t="s">
        <v>347</v>
      </c>
      <c r="R14" s="187" t="s">
        <v>398</v>
      </c>
      <c r="S14" s="187" t="s">
        <v>399</v>
      </c>
      <c r="T14" s="187" t="s">
        <v>295</v>
      </c>
    </row>
    <row r="15" spans="1:20" s="192" customFormat="1" ht="48">
      <c r="A15" s="120" t="s">
        <v>26</v>
      </c>
      <c r="B15" s="201" t="s">
        <v>343</v>
      </c>
      <c r="C15" s="202" t="s">
        <v>7</v>
      </c>
      <c r="D15" s="200" t="s">
        <v>241</v>
      </c>
      <c r="E15" s="202" t="s">
        <v>97</v>
      </c>
      <c r="F15" s="203">
        <f>1854/7418*100</f>
        <v>24.993259638716637</v>
      </c>
      <c r="G15" s="203">
        <f>1854/7418*100</f>
        <v>24.993259638716637</v>
      </c>
      <c r="H15" s="203">
        <f>3709/7418*100</f>
        <v>50</v>
      </c>
      <c r="I15" s="203">
        <f>3709/7418*100</f>
        <v>50</v>
      </c>
      <c r="J15" s="191">
        <v>0</v>
      </c>
      <c r="K15" s="191">
        <v>25</v>
      </c>
      <c r="L15" s="191">
        <v>25</v>
      </c>
      <c r="M15" s="191">
        <v>50</v>
      </c>
      <c r="N15" s="191">
        <v>50</v>
      </c>
      <c r="O15" s="117"/>
      <c r="P15" s="193">
        <v>0</v>
      </c>
      <c r="Q15" s="193" t="s">
        <v>341</v>
      </c>
      <c r="R15" s="193" t="s">
        <v>341</v>
      </c>
      <c r="S15" s="193" t="s">
        <v>341</v>
      </c>
      <c r="T15" s="193" t="s">
        <v>342</v>
      </c>
    </row>
    <row r="16" spans="1:21" s="117" customFormat="1" ht="48">
      <c r="A16" s="120" t="s">
        <v>27</v>
      </c>
      <c r="B16" s="201" t="s">
        <v>270</v>
      </c>
      <c r="C16" s="202" t="s">
        <v>7</v>
      </c>
      <c r="D16" s="200" t="s">
        <v>241</v>
      </c>
      <c r="E16" s="202" t="s">
        <v>97</v>
      </c>
      <c r="F16" s="203">
        <v>0</v>
      </c>
      <c r="G16" s="203">
        <v>1.2</v>
      </c>
      <c r="H16" s="203">
        <f>(2/227)*100</f>
        <v>0.881057268722467</v>
      </c>
      <c r="I16" s="203">
        <f>(1/227)*100</f>
        <v>0.4405286343612335</v>
      </c>
      <c r="J16" s="126">
        <f>4/229*100</f>
        <v>1.7467248908296942</v>
      </c>
      <c r="K16" s="126">
        <f>3/227*100</f>
        <v>1.3215859030837005</v>
      </c>
      <c r="L16" s="133">
        <f>(3/227)*100</f>
        <v>1.3215859030837005</v>
      </c>
      <c r="M16" s="133">
        <f>(2/227)*100</f>
        <v>0.881057268722467</v>
      </c>
      <c r="N16" s="133">
        <f>(2/227)*100</f>
        <v>0.881057268722467</v>
      </c>
      <c r="P16" s="187" t="s">
        <v>286</v>
      </c>
      <c r="Q16" s="187" t="s">
        <v>400</v>
      </c>
      <c r="R16" s="188" t="s">
        <v>285</v>
      </c>
      <c r="S16" s="188" t="s">
        <v>296</v>
      </c>
      <c r="T16" s="188" t="s">
        <v>401</v>
      </c>
      <c r="U16" s="131"/>
    </row>
    <row r="17" spans="1:21" s="117" customFormat="1" ht="20.25">
      <c r="A17" s="235" t="s">
        <v>8</v>
      </c>
      <c r="B17" s="235"/>
      <c r="C17" s="235"/>
      <c r="D17" s="235"/>
      <c r="E17" s="235"/>
      <c r="F17" s="235"/>
      <c r="G17" s="235"/>
      <c r="H17" s="235"/>
      <c r="I17" s="235"/>
      <c r="J17" s="126"/>
      <c r="K17" s="126"/>
      <c r="L17" s="130"/>
      <c r="M17" s="130"/>
      <c r="N17" s="130"/>
      <c r="P17" s="187"/>
      <c r="Q17" s="187"/>
      <c r="R17" s="188"/>
      <c r="S17" s="188"/>
      <c r="T17" s="188"/>
      <c r="U17" s="131"/>
    </row>
    <row r="18" spans="1:21" s="117" customFormat="1" ht="81.75" customHeight="1">
      <c r="A18" s="121" t="s">
        <v>27</v>
      </c>
      <c r="B18" s="201" t="s">
        <v>272</v>
      </c>
      <c r="C18" s="202" t="s">
        <v>7</v>
      </c>
      <c r="D18" s="202">
        <v>0.05</v>
      </c>
      <c r="E18" s="202" t="s">
        <v>269</v>
      </c>
      <c r="F18" s="203">
        <f>584/1297*100</f>
        <v>45.02698535080956</v>
      </c>
      <c r="G18" s="203">
        <f>585/1297*100</f>
        <v>45.10408635312259</v>
      </c>
      <c r="H18" s="203">
        <f>586/1297*100</f>
        <v>45.18118735543562</v>
      </c>
      <c r="I18" s="203">
        <f>587/1297*100</f>
        <v>45.25828835774865</v>
      </c>
      <c r="J18" s="126">
        <f>584/1297*100</f>
        <v>45.02698535080956</v>
      </c>
      <c r="K18" s="126">
        <f>584/1297*100</f>
        <v>45.02698535080956</v>
      </c>
      <c r="L18" s="133">
        <f>584/1297*100</f>
        <v>45.02698535080956</v>
      </c>
      <c r="M18" s="133">
        <f>585/1297*100</f>
        <v>45.10408635312259</v>
      </c>
      <c r="N18" s="133">
        <f>586/1297*100</f>
        <v>45.18118735543562</v>
      </c>
      <c r="P18" s="187" t="s">
        <v>287</v>
      </c>
      <c r="Q18" s="187" t="s">
        <v>287</v>
      </c>
      <c r="R18" s="187" t="s">
        <v>297</v>
      </c>
      <c r="S18" s="188" t="s">
        <v>298</v>
      </c>
      <c r="T18" s="188" t="s">
        <v>402</v>
      </c>
      <c r="U18" s="131"/>
    </row>
    <row r="19" spans="1:21" s="117" customFormat="1" ht="73.5">
      <c r="A19" s="121" t="s">
        <v>232</v>
      </c>
      <c r="B19" s="201" t="s">
        <v>271</v>
      </c>
      <c r="C19" s="202" t="s">
        <v>7</v>
      </c>
      <c r="D19" s="202">
        <v>0.03</v>
      </c>
      <c r="E19" s="202" t="s">
        <v>97</v>
      </c>
      <c r="F19" s="203">
        <f>5/11*100</f>
        <v>45.45454545454545</v>
      </c>
      <c r="G19" s="203">
        <f>5/11*100</f>
        <v>45.45454545454545</v>
      </c>
      <c r="H19" s="203">
        <f>6/11*100</f>
        <v>54.54545454545454</v>
      </c>
      <c r="I19" s="203">
        <f>6/11*100</f>
        <v>54.54545454545454</v>
      </c>
      <c r="J19" s="126">
        <f>3/12*100</f>
        <v>25</v>
      </c>
      <c r="K19" s="126">
        <f>5/11*100</f>
        <v>45.45454545454545</v>
      </c>
      <c r="L19" s="133">
        <f>5/11*100</f>
        <v>45.45454545454545</v>
      </c>
      <c r="M19" s="133">
        <f>6/11*100</f>
        <v>54.54545454545454</v>
      </c>
      <c r="N19" s="133">
        <f>6/11*100</f>
        <v>54.54545454545454</v>
      </c>
      <c r="P19" s="189" t="s">
        <v>288</v>
      </c>
      <c r="Q19" s="189" t="s">
        <v>384</v>
      </c>
      <c r="R19" s="189" t="s">
        <v>384</v>
      </c>
      <c r="S19" s="189" t="s">
        <v>385</v>
      </c>
      <c r="T19" s="189" t="s">
        <v>385</v>
      </c>
      <c r="U19" s="131" t="s">
        <v>390</v>
      </c>
    </row>
    <row r="20" spans="1:21" s="117" customFormat="1" ht="63.75">
      <c r="A20" s="120" t="s">
        <v>274</v>
      </c>
      <c r="B20" s="201" t="s">
        <v>268</v>
      </c>
      <c r="C20" s="202" t="s">
        <v>7</v>
      </c>
      <c r="D20" s="202">
        <v>0.05</v>
      </c>
      <c r="E20" s="202" t="s">
        <v>233</v>
      </c>
      <c r="F20" s="203">
        <f>3928/5610*100</f>
        <v>70.01782531194296</v>
      </c>
      <c r="G20" s="203">
        <v>74.7</v>
      </c>
      <c r="H20" s="203">
        <f>100*(5028/5902)</f>
        <v>85.191460521857</v>
      </c>
      <c r="I20" s="203">
        <f>100*(5035/5902)</f>
        <v>85.31006438495426</v>
      </c>
      <c r="J20" s="126">
        <f>4811/5666*100</f>
        <v>84.90998941051888</v>
      </c>
      <c r="K20" s="126">
        <f>4911/5777*100</f>
        <v>85.00952051237667</v>
      </c>
      <c r="L20" s="133">
        <f>100*(4911/5777)</f>
        <v>85.00952051237667</v>
      </c>
      <c r="M20" s="133">
        <f>100*(5023/5902)</f>
        <v>85.10674347678753</v>
      </c>
      <c r="N20" s="133">
        <f>100*(5023/5902)</f>
        <v>85.10674347678753</v>
      </c>
      <c r="P20" s="187" t="s">
        <v>289</v>
      </c>
      <c r="Q20" s="188" t="s">
        <v>411</v>
      </c>
      <c r="R20" s="188" t="s">
        <v>412</v>
      </c>
      <c r="S20" s="188" t="s">
        <v>403</v>
      </c>
      <c r="T20" s="188" t="s">
        <v>404</v>
      </c>
      <c r="U20" s="131"/>
    </row>
    <row r="21" spans="1:21" s="117" customFormat="1" ht="48">
      <c r="A21" s="121" t="s">
        <v>28</v>
      </c>
      <c r="B21" s="201" t="s">
        <v>273</v>
      </c>
      <c r="C21" s="202" t="s">
        <v>7</v>
      </c>
      <c r="D21" s="202">
        <v>0.03</v>
      </c>
      <c r="E21" s="202" t="s">
        <v>97</v>
      </c>
      <c r="F21" s="203">
        <f>(2/9)*100</f>
        <v>22.22222222222222</v>
      </c>
      <c r="G21" s="203">
        <f>2/9*100</f>
        <v>22.22222222222222</v>
      </c>
      <c r="H21" s="203">
        <f>2/9*100</f>
        <v>22.22222222222222</v>
      </c>
      <c r="I21" s="203">
        <f>3/9*100</f>
        <v>33.33333333333333</v>
      </c>
      <c r="J21" s="126">
        <f>(2/9)*100</f>
        <v>22.22222222222222</v>
      </c>
      <c r="K21" s="126">
        <f>(2/9)*100</f>
        <v>22.22222222222222</v>
      </c>
      <c r="L21" s="133">
        <f>2/9*100</f>
        <v>22.22222222222222</v>
      </c>
      <c r="M21" s="133">
        <f>2/9*100</f>
        <v>22.22222222222222</v>
      </c>
      <c r="N21" s="133">
        <f>3/9*100</f>
        <v>33.33333333333333</v>
      </c>
      <c r="P21" s="189" t="s">
        <v>290</v>
      </c>
      <c r="Q21" s="189" t="s">
        <v>290</v>
      </c>
      <c r="R21" s="189" t="s">
        <v>290</v>
      </c>
      <c r="S21" s="189" t="s">
        <v>290</v>
      </c>
      <c r="T21" s="189" t="s">
        <v>299</v>
      </c>
      <c r="U21" s="131"/>
    </row>
    <row r="22" spans="1:21" s="117" customFormat="1" ht="48">
      <c r="A22" s="121" t="s">
        <v>29</v>
      </c>
      <c r="B22" s="201" t="s">
        <v>380</v>
      </c>
      <c r="C22" s="202" t="s">
        <v>7</v>
      </c>
      <c r="D22" s="202">
        <v>0.1</v>
      </c>
      <c r="E22" s="202" t="s">
        <v>97</v>
      </c>
      <c r="F22" s="203">
        <f>2257/5643*100</f>
        <v>39.99645578592947</v>
      </c>
      <c r="G22" s="203">
        <f>2267/5643*100</f>
        <v>40.17366648945596</v>
      </c>
      <c r="H22" s="203">
        <v>40.5</v>
      </c>
      <c r="I22" s="203">
        <v>41</v>
      </c>
      <c r="J22" s="126"/>
      <c r="K22" s="126"/>
      <c r="L22" s="133">
        <v>11</v>
      </c>
      <c r="M22" s="133">
        <v>11.5</v>
      </c>
      <c r="N22" s="133">
        <v>11.5</v>
      </c>
      <c r="P22" s="189"/>
      <c r="Q22" s="189" t="s">
        <v>395</v>
      </c>
      <c r="R22" s="189" t="s">
        <v>405</v>
      </c>
      <c r="S22" s="189" t="s">
        <v>396</v>
      </c>
      <c r="T22" s="189" t="s">
        <v>397</v>
      </c>
      <c r="U22" s="131"/>
    </row>
    <row r="23" spans="1:21" s="117" customFormat="1" ht="48">
      <c r="A23" s="120" t="s">
        <v>30</v>
      </c>
      <c r="B23" s="201" t="s">
        <v>371</v>
      </c>
      <c r="C23" s="202" t="s">
        <v>7</v>
      </c>
      <c r="D23" s="202">
        <v>0.1</v>
      </c>
      <c r="E23" s="202" t="s">
        <v>97</v>
      </c>
      <c r="F23" s="203">
        <v>0</v>
      </c>
      <c r="G23" s="203">
        <v>28.3</v>
      </c>
      <c r="H23" s="203">
        <v>34</v>
      </c>
      <c r="I23" s="203">
        <v>35</v>
      </c>
      <c r="J23" s="126">
        <f>(4860/5586)*100</f>
        <v>87.0032223415682</v>
      </c>
      <c r="K23" s="126">
        <v>0</v>
      </c>
      <c r="L23" s="133">
        <v>33.2</v>
      </c>
      <c r="M23" s="133">
        <v>34</v>
      </c>
      <c r="N23" s="133">
        <v>35</v>
      </c>
      <c r="P23" s="187" t="s">
        <v>291</v>
      </c>
      <c r="Q23" s="187" t="s">
        <v>369</v>
      </c>
      <c r="R23" s="187" t="s">
        <v>381</v>
      </c>
      <c r="S23" s="188" t="s">
        <v>382</v>
      </c>
      <c r="T23" s="188" t="s">
        <v>383</v>
      </c>
      <c r="U23" s="131"/>
    </row>
    <row r="24" spans="1:21" s="117" customFormat="1" ht="48">
      <c r="A24" s="120" t="s">
        <v>31</v>
      </c>
      <c r="B24" s="201" t="s">
        <v>372</v>
      </c>
      <c r="C24" s="202" t="s">
        <v>7</v>
      </c>
      <c r="D24" s="202">
        <v>0.1</v>
      </c>
      <c r="E24" s="202" t="s">
        <v>98</v>
      </c>
      <c r="F24" s="203">
        <f>5269/5666*100</f>
        <v>92.9932933286269</v>
      </c>
      <c r="G24" s="203">
        <f>(5269/5666)*100</f>
        <v>92.9932933286269</v>
      </c>
      <c r="H24" s="203">
        <f>(5384/5777)*100</f>
        <v>93.1971611563095</v>
      </c>
      <c r="I24" s="203">
        <f>(5518/5902)*100</f>
        <v>93.49373093866485</v>
      </c>
      <c r="J24" s="126">
        <f>5269/5666*100</f>
        <v>92.9932933286269</v>
      </c>
      <c r="K24" s="126">
        <f>5269/5666*100</f>
        <v>92.9932933286269</v>
      </c>
      <c r="L24" s="133">
        <f>(5269/5666)*100</f>
        <v>92.9932933286269</v>
      </c>
      <c r="M24" s="133">
        <f>(5384/5777)*100</f>
        <v>93.1971611563095</v>
      </c>
      <c r="N24" s="133">
        <f>(5518/5902)*100</f>
        <v>93.49373093866485</v>
      </c>
      <c r="P24" s="187" t="s">
        <v>292</v>
      </c>
      <c r="Q24" s="187" t="s">
        <v>292</v>
      </c>
      <c r="R24" s="187" t="s">
        <v>292</v>
      </c>
      <c r="S24" s="188" t="s">
        <v>300</v>
      </c>
      <c r="T24" s="188" t="s">
        <v>301</v>
      </c>
      <c r="U24" s="131"/>
    </row>
    <row r="25" spans="1:20" s="117" customFormat="1" ht="69.75" customHeight="1">
      <c r="A25" s="120" t="s">
        <v>34</v>
      </c>
      <c r="B25" s="201" t="s">
        <v>406</v>
      </c>
      <c r="C25" s="202" t="s">
        <v>294</v>
      </c>
      <c r="D25" s="202">
        <v>0.03</v>
      </c>
      <c r="E25" s="202" t="s">
        <v>97</v>
      </c>
      <c r="F25" s="203">
        <f>240+270</f>
        <v>510</v>
      </c>
      <c r="G25" s="203">
        <v>934</v>
      </c>
      <c r="H25" s="203">
        <f>240+270+270+320</f>
        <v>1100</v>
      </c>
      <c r="I25" s="203">
        <f>240+270+270+320+320</f>
        <v>1420</v>
      </c>
      <c r="J25" s="126">
        <v>270</v>
      </c>
      <c r="K25" s="126">
        <v>270</v>
      </c>
      <c r="L25" s="133">
        <v>270</v>
      </c>
      <c r="M25" s="133">
        <v>270</v>
      </c>
      <c r="N25" s="133">
        <v>340</v>
      </c>
      <c r="P25" s="187">
        <v>240</v>
      </c>
      <c r="Q25" s="187" t="s">
        <v>407</v>
      </c>
      <c r="R25" s="187" t="s">
        <v>408</v>
      </c>
      <c r="S25" s="187" t="s">
        <v>409</v>
      </c>
      <c r="T25" s="187" t="s">
        <v>410</v>
      </c>
    </row>
    <row r="26" spans="1:20" s="117" customFormat="1" ht="20.25">
      <c r="A26" s="235" t="s">
        <v>9</v>
      </c>
      <c r="B26" s="235"/>
      <c r="C26" s="235"/>
      <c r="D26" s="235"/>
      <c r="E26" s="235"/>
      <c r="F26" s="235"/>
      <c r="G26" s="235"/>
      <c r="H26" s="235"/>
      <c r="I26" s="235"/>
      <c r="J26" s="126"/>
      <c r="K26" s="126"/>
      <c r="L26" s="132"/>
      <c r="M26" s="132"/>
      <c r="N26" s="132"/>
      <c r="P26" s="187"/>
      <c r="Q26" s="187"/>
      <c r="R26" s="188"/>
      <c r="S26" s="188"/>
      <c r="T26" s="188"/>
    </row>
    <row r="27" spans="1:20" s="192" customFormat="1" ht="32.25">
      <c r="A27" s="120" t="s">
        <v>275</v>
      </c>
      <c r="B27" s="201" t="s">
        <v>373</v>
      </c>
      <c r="C27" s="202" t="s">
        <v>7</v>
      </c>
      <c r="D27" s="202">
        <v>0.03</v>
      </c>
      <c r="E27" s="202" t="s">
        <v>97</v>
      </c>
      <c r="F27" s="203">
        <f>100*(5483/7890)</f>
        <v>69.49302915082383</v>
      </c>
      <c r="G27" s="203">
        <f>100*(5715/8095)</f>
        <v>70.59913526868438</v>
      </c>
      <c r="H27" s="203">
        <f>100*(6214/8242)</f>
        <v>75.39432176656152</v>
      </c>
      <c r="I27" s="203">
        <f>100*(6474/8408)</f>
        <v>76.99809705042816</v>
      </c>
      <c r="J27" s="191">
        <f>100*(5405/7890)</f>
        <v>68.50443599493029</v>
      </c>
      <c r="K27" s="191">
        <f>100*(5483/7890)</f>
        <v>69.49302915082383</v>
      </c>
      <c r="L27" s="191">
        <f>100*(5715/8095)</f>
        <v>70.59913526868438</v>
      </c>
      <c r="M27" s="191">
        <f>100*(6214/8242)</f>
        <v>75.39432176656152</v>
      </c>
      <c r="N27" s="191">
        <f>100*(6474/8408)</f>
        <v>76.99809705042816</v>
      </c>
      <c r="O27" s="117"/>
      <c r="P27" s="193" t="s">
        <v>349</v>
      </c>
      <c r="Q27" s="193" t="s">
        <v>350</v>
      </c>
      <c r="R27" s="193" t="s">
        <v>351</v>
      </c>
      <c r="S27" s="193" t="s">
        <v>352</v>
      </c>
      <c r="T27" s="193" t="s">
        <v>353</v>
      </c>
    </row>
    <row r="28" spans="1:20" s="192" customFormat="1" ht="48">
      <c r="A28" s="120" t="s">
        <v>276</v>
      </c>
      <c r="B28" s="201" t="s">
        <v>374</v>
      </c>
      <c r="C28" s="202" t="s">
        <v>7</v>
      </c>
      <c r="D28" s="202">
        <v>0.03</v>
      </c>
      <c r="E28" s="202" t="s">
        <v>97</v>
      </c>
      <c r="F28" s="203">
        <f>1854/7418*100</f>
        <v>24.993259638716637</v>
      </c>
      <c r="G28" s="203">
        <f>1854/7418*100</f>
        <v>24.993259638716637</v>
      </c>
      <c r="H28" s="203">
        <f>3709/7418*100</f>
        <v>50</v>
      </c>
      <c r="I28" s="203">
        <f>3709/7418*100</f>
        <v>50</v>
      </c>
      <c r="J28" s="191">
        <v>0</v>
      </c>
      <c r="K28" s="191">
        <f>1854/7418*100</f>
        <v>24.993259638716637</v>
      </c>
      <c r="L28" s="191">
        <f>1854/7418*100</f>
        <v>24.993259638716637</v>
      </c>
      <c r="M28" s="191">
        <f>3709/7418*100</f>
        <v>50</v>
      </c>
      <c r="N28" s="191">
        <f>3709/7418*100</f>
        <v>50</v>
      </c>
      <c r="O28" s="117"/>
      <c r="P28" s="193">
        <v>0</v>
      </c>
      <c r="Q28" s="193" t="s">
        <v>341</v>
      </c>
      <c r="R28" s="193" t="s">
        <v>341</v>
      </c>
      <c r="S28" s="193" t="s">
        <v>342</v>
      </c>
      <c r="T28" s="193" t="s">
        <v>342</v>
      </c>
    </row>
    <row r="29" spans="1:20" s="117" customFormat="1" ht="20.25">
      <c r="A29" s="235" t="s">
        <v>10</v>
      </c>
      <c r="B29" s="235"/>
      <c r="C29" s="235"/>
      <c r="D29" s="235"/>
      <c r="E29" s="235"/>
      <c r="F29" s="235"/>
      <c r="G29" s="235"/>
      <c r="H29" s="235"/>
      <c r="I29" s="235"/>
      <c r="J29" s="126"/>
      <c r="K29" s="126"/>
      <c r="L29" s="132"/>
      <c r="M29" s="132"/>
      <c r="N29" s="132"/>
      <c r="P29" s="187"/>
      <c r="Q29" s="187"/>
      <c r="R29" s="188"/>
      <c r="S29" s="188"/>
      <c r="T29" s="188"/>
    </row>
    <row r="30" spans="1:20" s="117" customFormat="1" ht="51" customHeight="1">
      <c r="A30" s="120" t="s">
        <v>277</v>
      </c>
      <c r="B30" s="201" t="s">
        <v>375</v>
      </c>
      <c r="C30" s="202" t="s">
        <v>7</v>
      </c>
      <c r="D30" s="202">
        <v>0.1</v>
      </c>
      <c r="E30" s="202" t="s">
        <v>99</v>
      </c>
      <c r="F30" s="203">
        <f>69/222*100</f>
        <v>31.08108108108108</v>
      </c>
      <c r="G30" s="203">
        <v>33.8</v>
      </c>
      <c r="H30" s="203">
        <v>33.9</v>
      </c>
      <c r="I30" s="203">
        <v>34</v>
      </c>
      <c r="J30" s="126">
        <f>69/222*100</f>
        <v>31.08108108108108</v>
      </c>
      <c r="K30" s="126">
        <f>69/222*100</f>
        <v>31.08108108108108</v>
      </c>
      <c r="L30" s="133">
        <f>(71/220)*100</f>
        <v>32.27272727272727</v>
      </c>
      <c r="M30" s="133">
        <f>(72/219)*100</f>
        <v>32.87671232876712</v>
      </c>
      <c r="N30" s="133">
        <f>(73/221)*100</f>
        <v>33.03167420814479</v>
      </c>
      <c r="P30" s="187" t="s">
        <v>293</v>
      </c>
      <c r="Q30" s="187" t="s">
        <v>293</v>
      </c>
      <c r="R30" s="188" t="s">
        <v>302</v>
      </c>
      <c r="S30" s="188" t="s">
        <v>303</v>
      </c>
      <c r="T30" s="188" t="s">
        <v>354</v>
      </c>
    </row>
    <row r="31" spans="1:20" s="117" customFormat="1" ht="63">
      <c r="A31" s="121" t="s">
        <v>278</v>
      </c>
      <c r="B31" s="204" t="s">
        <v>376</v>
      </c>
      <c r="C31" s="202" t="s">
        <v>7</v>
      </c>
      <c r="D31" s="202">
        <v>0.05</v>
      </c>
      <c r="E31" s="202" t="s">
        <v>99</v>
      </c>
      <c r="F31" s="203">
        <f>14/172*100</f>
        <v>8.13953488372093</v>
      </c>
      <c r="G31" s="203">
        <v>9</v>
      </c>
      <c r="H31" s="203">
        <f>100*(24/134)</f>
        <v>17.91044776119403</v>
      </c>
      <c r="I31" s="203">
        <f>100*(12/66)</f>
        <v>18.181818181818183</v>
      </c>
      <c r="J31" s="126">
        <f>22/178*100</f>
        <v>12.359550561797752</v>
      </c>
      <c r="K31" s="126">
        <f>14/172*100</f>
        <v>8.13953488372093</v>
      </c>
      <c r="L31" s="133">
        <f>100*(13/158)</f>
        <v>8.227848101265822</v>
      </c>
      <c r="M31" s="133">
        <f>100*(24/134)</f>
        <v>17.91044776119403</v>
      </c>
      <c r="N31" s="133">
        <f>100*(12/66)</f>
        <v>18.181818181818183</v>
      </c>
      <c r="P31" s="189" t="s">
        <v>304</v>
      </c>
      <c r="Q31" s="189" t="s">
        <v>386</v>
      </c>
      <c r="R31" s="189" t="s">
        <v>387</v>
      </c>
      <c r="S31" s="190" t="s">
        <v>388</v>
      </c>
      <c r="T31" s="190" t="s">
        <v>389</v>
      </c>
    </row>
    <row r="32" spans="1:20" ht="20.25">
      <c r="A32" s="235" t="s">
        <v>266</v>
      </c>
      <c r="B32" s="235"/>
      <c r="C32" s="235"/>
      <c r="D32" s="235"/>
      <c r="E32" s="235"/>
      <c r="F32" s="235"/>
      <c r="G32" s="235"/>
      <c r="H32" s="235"/>
      <c r="I32" s="235"/>
      <c r="J32" s="126"/>
      <c r="K32" s="126"/>
      <c r="L32" s="132"/>
      <c r="M32" s="132"/>
      <c r="N32" s="132"/>
      <c r="P32" s="187"/>
      <c r="Q32" s="187"/>
      <c r="R32" s="188"/>
      <c r="S32" s="188"/>
      <c r="T32" s="188"/>
    </row>
    <row r="33" spans="1:20" ht="48">
      <c r="A33" s="120" t="s">
        <v>305</v>
      </c>
      <c r="B33" s="201" t="s">
        <v>377</v>
      </c>
      <c r="C33" s="202" t="s">
        <v>267</v>
      </c>
      <c r="D33" s="202">
        <v>0.1</v>
      </c>
      <c r="E33" s="202" t="s">
        <v>97</v>
      </c>
      <c r="F33" s="203">
        <v>5</v>
      </c>
      <c r="G33" s="203">
        <v>5</v>
      </c>
      <c r="H33" s="203">
        <v>5</v>
      </c>
      <c r="I33" s="203">
        <v>5</v>
      </c>
      <c r="J33" s="126">
        <v>5</v>
      </c>
      <c r="K33" s="126">
        <v>5</v>
      </c>
      <c r="L33" s="133">
        <v>5</v>
      </c>
      <c r="M33" s="133">
        <v>5</v>
      </c>
      <c r="N33" s="133">
        <v>5</v>
      </c>
      <c r="P33" s="187"/>
      <c r="Q33" s="187"/>
      <c r="R33" s="188"/>
      <c r="S33" s="188"/>
      <c r="T33" s="188"/>
    </row>
    <row r="34" spans="1:20" ht="31.5">
      <c r="A34" s="121" t="s">
        <v>332</v>
      </c>
      <c r="B34" s="204" t="s">
        <v>378</v>
      </c>
      <c r="C34" s="202" t="s">
        <v>267</v>
      </c>
      <c r="D34" s="202">
        <v>0.1</v>
      </c>
      <c r="E34" s="202" t="s">
        <v>97</v>
      </c>
      <c r="F34" s="203">
        <v>5</v>
      </c>
      <c r="G34" s="203">
        <v>5</v>
      </c>
      <c r="H34" s="203">
        <v>5</v>
      </c>
      <c r="I34" s="203">
        <v>5</v>
      </c>
      <c r="J34" s="126">
        <v>5</v>
      </c>
      <c r="K34" s="126">
        <v>5</v>
      </c>
      <c r="L34" s="133">
        <v>5</v>
      </c>
      <c r="M34" s="133">
        <v>5</v>
      </c>
      <c r="N34" s="133">
        <v>5</v>
      </c>
      <c r="P34" s="187"/>
      <c r="Q34" s="187"/>
      <c r="R34" s="188"/>
      <c r="S34" s="188"/>
      <c r="T34" s="188"/>
    </row>
    <row r="35" spans="1:20" ht="94.5">
      <c r="A35" s="121" t="s">
        <v>370</v>
      </c>
      <c r="B35" s="204" t="s">
        <v>379</v>
      </c>
      <c r="C35" s="202" t="s">
        <v>267</v>
      </c>
      <c r="D35" s="202">
        <v>0.1</v>
      </c>
      <c r="E35" s="202" t="s">
        <v>97</v>
      </c>
      <c r="F35" s="203">
        <v>5</v>
      </c>
      <c r="G35" s="203">
        <v>5</v>
      </c>
      <c r="H35" s="203">
        <v>5</v>
      </c>
      <c r="I35" s="203">
        <v>5</v>
      </c>
      <c r="J35" s="126">
        <v>5</v>
      </c>
      <c r="K35" s="126">
        <v>5</v>
      </c>
      <c r="L35" s="133">
        <v>5</v>
      </c>
      <c r="M35" s="133">
        <v>5</v>
      </c>
      <c r="N35" s="133">
        <v>5</v>
      </c>
      <c r="P35" s="187"/>
      <c r="Q35" s="187"/>
      <c r="R35" s="188"/>
      <c r="S35" s="188"/>
      <c r="T35" s="188"/>
    </row>
    <row r="36" ht="20.25">
      <c r="D36" s="117">
        <f>D18+D19+D20+D21+D22+D23+D24+D25+D27+D28+D30+D31+D33+D34+D35</f>
        <v>1</v>
      </c>
    </row>
  </sheetData>
  <sheetProtection/>
  <mergeCells count="18">
    <mergeCell ref="E5:I5"/>
    <mergeCell ref="A12:I12"/>
    <mergeCell ref="E10:E11"/>
    <mergeCell ref="A13:I13"/>
    <mergeCell ref="F10:I10"/>
    <mergeCell ref="A7:I7"/>
    <mergeCell ref="A8:I8"/>
    <mergeCell ref="E6:I6"/>
    <mergeCell ref="F3:I3"/>
    <mergeCell ref="A32:I32"/>
    <mergeCell ref="L10:N10"/>
    <mergeCell ref="A17:I17"/>
    <mergeCell ref="A26:I26"/>
    <mergeCell ref="A29:I29"/>
    <mergeCell ref="A10:A11"/>
    <mergeCell ref="B10:B11"/>
    <mergeCell ref="C10:C11"/>
    <mergeCell ref="D10:D11"/>
  </mergeCells>
  <printOptions/>
  <pageMargins left="0.5118110236220472" right="0" top="0.3937007874015748" bottom="0" header="0.5118110236220472" footer="0.5118110236220472"/>
  <pageSetup horizontalDpi="600" verticalDpi="600" orientation="landscape" paperSize="9" scale="70" r:id="rId1"/>
  <rowBreaks count="1" manualBreakCount="1">
    <brk id="2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zoomScale="90" zoomScaleNormal="90" zoomScaleSheetLayoutView="80" workbookViewId="0" topLeftCell="A29">
      <selection activeCell="H34" sqref="H34:H35"/>
    </sheetView>
  </sheetViews>
  <sheetFormatPr defaultColWidth="9.00390625" defaultRowHeight="12.75"/>
  <cols>
    <col min="1" max="1" width="3.625" style="6" customWidth="1"/>
    <col min="2" max="2" width="46.375" style="0" customWidth="1"/>
    <col min="3" max="3" width="16.25390625" style="0" customWidth="1"/>
    <col min="4" max="4" width="13.625" style="0" customWidth="1"/>
    <col min="5" max="5" width="14.00390625" style="0" customWidth="1"/>
    <col min="6" max="6" width="29.875" style="0" customWidth="1"/>
    <col min="7" max="7" width="26.00390625" style="0" customWidth="1"/>
    <col min="8" max="8" width="26.625" style="0" customWidth="1"/>
  </cols>
  <sheetData>
    <row r="1" spans="2:8" ht="15" customHeight="1">
      <c r="B1" s="23"/>
      <c r="D1" s="3"/>
      <c r="E1" s="3"/>
      <c r="F1" s="3"/>
      <c r="G1" s="248" t="s">
        <v>16</v>
      </c>
      <c r="H1" s="248"/>
    </row>
    <row r="2" spans="2:10" ht="45.75" customHeight="1">
      <c r="B2" s="23"/>
      <c r="D2" s="3"/>
      <c r="E2" s="3"/>
      <c r="F2" s="3"/>
      <c r="G2" s="248" t="s">
        <v>355</v>
      </c>
      <c r="H2" s="248"/>
      <c r="I2" s="3"/>
      <c r="J2" s="3"/>
    </row>
    <row r="3" spans="1:8" ht="15.75" customHeight="1">
      <c r="A3" s="258" t="s">
        <v>100</v>
      </c>
      <c r="B3" s="258"/>
      <c r="C3" s="258"/>
      <c r="D3" s="258"/>
      <c r="E3" s="258"/>
      <c r="F3" s="258"/>
      <c r="G3" s="258"/>
      <c r="H3" s="258"/>
    </row>
    <row r="4" spans="1:8" ht="13.5" customHeight="1">
      <c r="A4" s="259" t="s">
        <v>101</v>
      </c>
      <c r="B4" s="259"/>
      <c r="C4" s="259"/>
      <c r="D4" s="259"/>
      <c r="E4" s="259"/>
      <c r="F4" s="259"/>
      <c r="G4" s="259"/>
      <c r="H4" s="259"/>
    </row>
    <row r="6" ht="13.5" thickBot="1"/>
    <row r="7" spans="1:8" s="6" customFormat="1" ht="15.75" customHeight="1">
      <c r="A7" s="260" t="s">
        <v>0</v>
      </c>
      <c r="B7" s="244" t="s">
        <v>66</v>
      </c>
      <c r="C7" s="244" t="s">
        <v>67</v>
      </c>
      <c r="D7" s="244" t="s">
        <v>102</v>
      </c>
      <c r="E7" s="244"/>
      <c r="F7" s="244" t="s">
        <v>103</v>
      </c>
      <c r="G7" s="244" t="s">
        <v>104</v>
      </c>
      <c r="H7" s="240" t="s">
        <v>105</v>
      </c>
    </row>
    <row r="8" spans="1:8" s="6" customFormat="1" ht="36" customHeight="1" thickBot="1">
      <c r="A8" s="261"/>
      <c r="B8" s="245"/>
      <c r="C8" s="245"/>
      <c r="D8" s="22" t="s">
        <v>68</v>
      </c>
      <c r="E8" s="22" t="s">
        <v>69</v>
      </c>
      <c r="F8" s="245"/>
      <c r="G8" s="245"/>
      <c r="H8" s="241"/>
    </row>
    <row r="9" spans="1:8" s="6" customFormat="1" ht="15.75" customHeight="1" thickBot="1">
      <c r="A9" s="34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58">
        <v>8</v>
      </c>
    </row>
    <row r="10" spans="1:8" ht="17.25" customHeight="1">
      <c r="A10" s="49">
        <v>1</v>
      </c>
      <c r="B10" s="246" t="s">
        <v>8</v>
      </c>
      <c r="C10" s="247"/>
      <c r="D10" s="247"/>
      <c r="E10" s="247"/>
      <c r="F10" s="247"/>
      <c r="G10" s="247"/>
      <c r="H10" s="247"/>
    </row>
    <row r="11" spans="1:8" ht="65.25" customHeight="1">
      <c r="A11" s="45">
        <f>A10+1</f>
        <v>2</v>
      </c>
      <c r="B11" s="57" t="s">
        <v>114</v>
      </c>
      <c r="C11" s="59" t="s">
        <v>76</v>
      </c>
      <c r="D11" s="63">
        <v>44197</v>
      </c>
      <c r="E11" s="63">
        <v>44561</v>
      </c>
      <c r="F11" s="57" t="s">
        <v>115</v>
      </c>
      <c r="G11" s="57" t="s">
        <v>116</v>
      </c>
      <c r="H11" s="118" t="s">
        <v>413</v>
      </c>
    </row>
    <row r="12" spans="1:8" s="73" customFormat="1" ht="95.25" customHeight="1">
      <c r="A12" s="45">
        <f aca="true" t="shared" si="0" ref="A12:A35">A11+1</f>
        <v>3</v>
      </c>
      <c r="B12" s="57" t="s">
        <v>223</v>
      </c>
      <c r="C12" s="59" t="s">
        <v>76</v>
      </c>
      <c r="D12" s="63">
        <v>44197</v>
      </c>
      <c r="E12" s="63">
        <v>44561</v>
      </c>
      <c r="F12" s="57" t="s">
        <v>89</v>
      </c>
      <c r="G12" s="57" t="s">
        <v>106</v>
      </c>
      <c r="H12" s="118" t="s">
        <v>414</v>
      </c>
    </row>
    <row r="13" spans="1:8" ht="99.75" customHeight="1">
      <c r="A13" s="45">
        <f t="shared" si="0"/>
        <v>4</v>
      </c>
      <c r="B13" s="57" t="s">
        <v>224</v>
      </c>
      <c r="C13" s="59" t="s">
        <v>76</v>
      </c>
      <c r="D13" s="63">
        <v>44197</v>
      </c>
      <c r="E13" s="63">
        <v>44561</v>
      </c>
      <c r="F13" s="57" t="s">
        <v>107</v>
      </c>
      <c r="G13" s="57" t="s">
        <v>108</v>
      </c>
      <c r="H13" s="118" t="s">
        <v>413</v>
      </c>
    </row>
    <row r="14" spans="1:8" ht="97.5" customHeight="1">
      <c r="A14" s="45">
        <f t="shared" si="0"/>
        <v>5</v>
      </c>
      <c r="B14" s="60" t="s">
        <v>225</v>
      </c>
      <c r="C14" s="59" t="s">
        <v>76</v>
      </c>
      <c r="D14" s="63">
        <v>44197</v>
      </c>
      <c r="E14" s="63">
        <v>44561</v>
      </c>
      <c r="F14" s="57" t="s">
        <v>109</v>
      </c>
      <c r="G14" s="57" t="s">
        <v>110</v>
      </c>
      <c r="H14" s="89"/>
    </row>
    <row r="15" spans="1:8" ht="89.25">
      <c r="A15" s="45">
        <f t="shared" si="0"/>
        <v>6</v>
      </c>
      <c r="B15" s="60" t="s">
        <v>117</v>
      </c>
      <c r="C15" s="59" t="s">
        <v>76</v>
      </c>
      <c r="D15" s="63">
        <v>44197</v>
      </c>
      <c r="E15" s="63">
        <v>44561</v>
      </c>
      <c r="F15" s="57" t="s">
        <v>90</v>
      </c>
      <c r="G15" s="57" t="s">
        <v>111</v>
      </c>
      <c r="H15" s="89"/>
    </row>
    <row r="16" spans="1:8" ht="116.25" customHeight="1">
      <c r="A16" s="45">
        <f t="shared" si="0"/>
        <v>7</v>
      </c>
      <c r="B16" s="64" t="s">
        <v>226</v>
      </c>
      <c r="C16" s="59" t="s">
        <v>76</v>
      </c>
      <c r="D16" s="63">
        <v>44197</v>
      </c>
      <c r="E16" s="63">
        <v>44561</v>
      </c>
      <c r="F16" s="57" t="s">
        <v>112</v>
      </c>
      <c r="G16" s="57" t="s">
        <v>113</v>
      </c>
      <c r="H16" s="119" t="s">
        <v>415</v>
      </c>
    </row>
    <row r="17" spans="1:8" ht="119.25" customHeight="1">
      <c r="A17" s="45">
        <f t="shared" si="0"/>
        <v>8</v>
      </c>
      <c r="B17" s="64" t="s">
        <v>175</v>
      </c>
      <c r="C17" s="59" t="s">
        <v>76</v>
      </c>
      <c r="D17" s="63">
        <v>44197</v>
      </c>
      <c r="E17" s="63">
        <v>44561</v>
      </c>
      <c r="F17" s="60" t="s">
        <v>107</v>
      </c>
      <c r="G17" s="60" t="s">
        <v>108</v>
      </c>
      <c r="H17" s="118" t="s">
        <v>416</v>
      </c>
    </row>
    <row r="18" spans="1:8" ht="180" customHeight="1">
      <c r="A18" s="45">
        <f t="shared" si="0"/>
        <v>9</v>
      </c>
      <c r="B18" s="64" t="s">
        <v>321</v>
      </c>
      <c r="C18" s="59" t="s">
        <v>76</v>
      </c>
      <c r="D18" s="63">
        <v>44197</v>
      </c>
      <c r="E18" s="63">
        <v>44561</v>
      </c>
      <c r="F18" s="60" t="s">
        <v>359</v>
      </c>
      <c r="G18" s="60" t="s">
        <v>360</v>
      </c>
      <c r="H18" s="118" t="s">
        <v>417</v>
      </c>
    </row>
    <row r="19" spans="1:8" ht="81.75" customHeight="1">
      <c r="A19" s="45">
        <f t="shared" si="0"/>
        <v>10</v>
      </c>
      <c r="B19" s="197" t="s">
        <v>365</v>
      </c>
      <c r="C19" s="59" t="s">
        <v>76</v>
      </c>
      <c r="D19" s="63">
        <v>44197</v>
      </c>
      <c r="E19" s="63">
        <v>44561</v>
      </c>
      <c r="F19" s="60" t="s">
        <v>357</v>
      </c>
      <c r="G19" s="60" t="s">
        <v>358</v>
      </c>
      <c r="H19" s="198" t="s">
        <v>391</v>
      </c>
    </row>
    <row r="20" spans="1:8" ht="63.75" customHeight="1">
      <c r="A20" s="45">
        <f t="shared" si="0"/>
        <v>11</v>
      </c>
      <c r="B20" s="60" t="s">
        <v>118</v>
      </c>
      <c r="C20" s="59" t="s">
        <v>76</v>
      </c>
      <c r="D20" s="63">
        <v>44197</v>
      </c>
      <c r="E20" s="63">
        <v>44561</v>
      </c>
      <c r="F20" s="60" t="s">
        <v>120</v>
      </c>
      <c r="G20" s="60" t="s">
        <v>119</v>
      </c>
      <c r="H20" s="90"/>
    </row>
    <row r="21" spans="1:8" ht="66" customHeight="1">
      <c r="A21" s="45">
        <f t="shared" si="0"/>
        <v>12</v>
      </c>
      <c r="B21" s="194" t="s">
        <v>356</v>
      </c>
      <c r="C21" s="195" t="s">
        <v>76</v>
      </c>
      <c r="D21" s="196">
        <v>44348</v>
      </c>
      <c r="E21" s="196">
        <v>44439</v>
      </c>
      <c r="F21" s="195" t="s">
        <v>235</v>
      </c>
      <c r="G21" s="195" t="s">
        <v>121</v>
      </c>
      <c r="H21" s="180" t="s">
        <v>418</v>
      </c>
    </row>
    <row r="22" spans="1:8" ht="84.75" customHeight="1">
      <c r="A22" s="45">
        <f t="shared" si="0"/>
        <v>13</v>
      </c>
      <c r="B22" s="60" t="s">
        <v>309</v>
      </c>
      <c r="C22" s="59" t="s">
        <v>76</v>
      </c>
      <c r="D22" s="63">
        <v>44197</v>
      </c>
      <c r="E22" s="63">
        <v>44561</v>
      </c>
      <c r="F22" s="60" t="s">
        <v>227</v>
      </c>
      <c r="G22" s="60" t="s">
        <v>228</v>
      </c>
      <c r="H22" s="89"/>
    </row>
    <row r="23" spans="1:8" ht="15.75" customHeight="1">
      <c r="A23" s="45">
        <f t="shared" si="0"/>
        <v>14</v>
      </c>
      <c r="B23" s="249" t="s">
        <v>9</v>
      </c>
      <c r="C23" s="250"/>
      <c r="D23" s="250"/>
      <c r="E23" s="250"/>
      <c r="F23" s="250"/>
      <c r="G23" s="250"/>
      <c r="H23" s="250"/>
    </row>
    <row r="24" spans="1:8" ht="70.5" customHeight="1">
      <c r="A24" s="45">
        <f t="shared" si="0"/>
        <v>15</v>
      </c>
      <c r="B24" s="60" t="s">
        <v>114</v>
      </c>
      <c r="C24" s="59" t="s">
        <v>76</v>
      </c>
      <c r="D24" s="63">
        <v>44197</v>
      </c>
      <c r="E24" s="63">
        <v>44561</v>
      </c>
      <c r="F24" s="60" t="s">
        <v>115</v>
      </c>
      <c r="G24" s="60" t="s">
        <v>116</v>
      </c>
      <c r="H24" s="118" t="s">
        <v>361</v>
      </c>
    </row>
    <row r="25" spans="1:8" ht="84.75" customHeight="1">
      <c r="A25" s="45">
        <f t="shared" si="0"/>
        <v>16</v>
      </c>
      <c r="B25" s="60" t="s">
        <v>334</v>
      </c>
      <c r="C25" s="59" t="s">
        <v>76</v>
      </c>
      <c r="D25" s="63">
        <v>44197</v>
      </c>
      <c r="E25" s="63">
        <v>44561</v>
      </c>
      <c r="F25" s="60" t="s">
        <v>362</v>
      </c>
      <c r="G25" s="60" t="s">
        <v>363</v>
      </c>
      <c r="H25" s="180" t="s">
        <v>364</v>
      </c>
    </row>
    <row r="26" spans="1:8" ht="63.75">
      <c r="A26" s="45">
        <f t="shared" si="0"/>
        <v>17</v>
      </c>
      <c r="B26" s="60" t="s">
        <v>71</v>
      </c>
      <c r="C26" s="59" t="s">
        <v>77</v>
      </c>
      <c r="D26" s="63">
        <v>44348</v>
      </c>
      <c r="E26" s="63">
        <v>44439</v>
      </c>
      <c r="F26" s="60" t="s">
        <v>234</v>
      </c>
      <c r="G26" s="60" t="s">
        <v>122</v>
      </c>
      <c r="H26" s="251" t="s">
        <v>418</v>
      </c>
    </row>
    <row r="27" spans="1:8" ht="43.5" customHeight="1">
      <c r="A27" s="45">
        <f t="shared" si="0"/>
        <v>18</v>
      </c>
      <c r="B27" s="60" t="s">
        <v>72</v>
      </c>
      <c r="C27" s="59" t="s">
        <v>77</v>
      </c>
      <c r="D27" s="63">
        <v>44348</v>
      </c>
      <c r="E27" s="63">
        <v>44439</v>
      </c>
      <c r="F27" s="57" t="s">
        <v>236</v>
      </c>
      <c r="G27" s="57" t="s">
        <v>121</v>
      </c>
      <c r="H27" s="252"/>
    </row>
    <row r="28" spans="1:8" ht="95.25" customHeight="1">
      <c r="A28" s="45">
        <f t="shared" si="0"/>
        <v>19</v>
      </c>
      <c r="B28" s="60" t="s">
        <v>73</v>
      </c>
      <c r="C28" s="59" t="s">
        <v>77</v>
      </c>
      <c r="D28" s="63">
        <v>44348</v>
      </c>
      <c r="E28" s="63">
        <v>44439</v>
      </c>
      <c r="F28" s="57" t="s">
        <v>92</v>
      </c>
      <c r="G28" s="57" t="s">
        <v>122</v>
      </c>
      <c r="H28" s="252"/>
    </row>
    <row r="29" spans="1:8" ht="57" customHeight="1">
      <c r="A29" s="45">
        <f t="shared" si="0"/>
        <v>20</v>
      </c>
      <c r="B29" s="60" t="s">
        <v>209</v>
      </c>
      <c r="C29" s="59" t="s">
        <v>77</v>
      </c>
      <c r="D29" s="63">
        <v>44197</v>
      </c>
      <c r="E29" s="63">
        <v>44561</v>
      </c>
      <c r="F29" s="57" t="s">
        <v>91</v>
      </c>
      <c r="G29" s="57" t="s">
        <v>123</v>
      </c>
      <c r="H29" s="253"/>
    </row>
    <row r="30" spans="1:8" ht="17.25" customHeight="1">
      <c r="A30" s="45">
        <f t="shared" si="0"/>
        <v>21</v>
      </c>
      <c r="B30" s="242" t="s">
        <v>10</v>
      </c>
      <c r="C30" s="243"/>
      <c r="D30" s="243"/>
      <c r="E30" s="243"/>
      <c r="F30" s="243"/>
      <c r="G30" s="243"/>
      <c r="H30" s="243"/>
    </row>
    <row r="31" spans="1:8" ht="71.25" customHeight="1">
      <c r="A31" s="45">
        <f t="shared" si="0"/>
        <v>22</v>
      </c>
      <c r="B31" s="60" t="s">
        <v>74</v>
      </c>
      <c r="C31" s="59" t="s">
        <v>76</v>
      </c>
      <c r="D31" s="63">
        <v>44197</v>
      </c>
      <c r="E31" s="63">
        <v>44561</v>
      </c>
      <c r="F31" s="112" t="s">
        <v>250</v>
      </c>
      <c r="G31" s="112"/>
      <c r="H31" s="112" t="s">
        <v>366</v>
      </c>
    </row>
    <row r="32" spans="1:8" ht="99.75" customHeight="1">
      <c r="A32" s="45">
        <f t="shared" si="0"/>
        <v>23</v>
      </c>
      <c r="B32" s="194" t="s">
        <v>367</v>
      </c>
      <c r="C32" s="195" t="s">
        <v>77</v>
      </c>
      <c r="D32" s="63">
        <v>44197</v>
      </c>
      <c r="E32" s="63">
        <v>44561</v>
      </c>
      <c r="F32" s="180" t="s">
        <v>392</v>
      </c>
      <c r="G32" s="180" t="s">
        <v>124</v>
      </c>
      <c r="H32" s="180" t="s">
        <v>393</v>
      </c>
    </row>
    <row r="33" spans="1:8" ht="15.75">
      <c r="A33" s="45">
        <f t="shared" si="0"/>
        <v>24</v>
      </c>
      <c r="B33" s="242" t="s">
        <v>43</v>
      </c>
      <c r="C33" s="243"/>
      <c r="D33" s="243"/>
      <c r="E33" s="243"/>
      <c r="F33" s="243"/>
      <c r="G33" s="243"/>
      <c r="H33" s="243"/>
    </row>
    <row r="34" spans="1:8" ht="49.5" customHeight="1">
      <c r="A34" s="45">
        <f t="shared" si="0"/>
        <v>25</v>
      </c>
      <c r="B34" s="60" t="s">
        <v>75</v>
      </c>
      <c r="C34" s="59" t="s">
        <v>76</v>
      </c>
      <c r="D34" s="63">
        <v>44197</v>
      </c>
      <c r="E34" s="63">
        <v>44561</v>
      </c>
      <c r="F34" s="254" t="s">
        <v>125</v>
      </c>
      <c r="G34" s="254" t="s">
        <v>116</v>
      </c>
      <c r="H34" s="256" t="s">
        <v>279</v>
      </c>
    </row>
    <row r="35" spans="1:8" ht="25.5">
      <c r="A35" s="45">
        <f t="shared" si="0"/>
        <v>26</v>
      </c>
      <c r="B35" s="60" t="s">
        <v>114</v>
      </c>
      <c r="C35" s="59" t="s">
        <v>76</v>
      </c>
      <c r="D35" s="63">
        <v>44197</v>
      </c>
      <c r="E35" s="63">
        <v>44561</v>
      </c>
      <c r="F35" s="255"/>
      <c r="G35" s="255"/>
      <c r="H35" s="257"/>
    </row>
    <row r="36" ht="12.75">
      <c r="B36" s="61"/>
    </row>
    <row r="37" ht="12.75">
      <c r="B37" s="61"/>
    </row>
    <row r="38" ht="12.75">
      <c r="B38" s="61"/>
    </row>
    <row r="39" spans="2:8" s="6" customFormat="1" ht="12.75">
      <c r="B39" s="61"/>
      <c r="C39"/>
      <c r="D39"/>
      <c r="E39"/>
      <c r="F39"/>
      <c r="G39"/>
      <c r="H39"/>
    </row>
    <row r="40" spans="2:8" ht="18.75">
      <c r="B40" s="62"/>
      <c r="C40" s="62"/>
      <c r="D40" s="62"/>
      <c r="E40" s="6"/>
      <c r="F40" s="6"/>
      <c r="G40" s="6"/>
      <c r="H40" s="6"/>
    </row>
  </sheetData>
  <sheetProtection/>
  <mergeCells count="19">
    <mergeCell ref="F34:F35"/>
    <mergeCell ref="G34:G35"/>
    <mergeCell ref="H34:H35"/>
    <mergeCell ref="G1:H1"/>
    <mergeCell ref="A3:H3"/>
    <mergeCell ref="A4:H4"/>
    <mergeCell ref="A7:A8"/>
    <mergeCell ref="B7:B8"/>
    <mergeCell ref="C7:C8"/>
    <mergeCell ref="D7:E7"/>
    <mergeCell ref="H7:H8"/>
    <mergeCell ref="B33:H33"/>
    <mergeCell ref="G7:G8"/>
    <mergeCell ref="B10:H10"/>
    <mergeCell ref="G2:H2"/>
    <mergeCell ref="F7:F8"/>
    <mergeCell ref="B23:H23"/>
    <mergeCell ref="H26:H29"/>
    <mergeCell ref="B30:H30"/>
  </mergeCells>
  <printOptions/>
  <pageMargins left="0.5905511811023623" right="0" top="0.35433070866141736" bottom="0" header="0.31496062992125984" footer="0.31496062992125984"/>
  <pageSetup fitToHeight="1000" fitToWidth="100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7"/>
  <sheetViews>
    <sheetView zoomScale="90" zoomScaleNormal="90" zoomScaleSheetLayoutView="90" workbookViewId="0" topLeftCell="A1">
      <pane xSplit="1" ySplit="9" topLeftCell="B10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C10" sqref="C10"/>
    </sheetView>
  </sheetViews>
  <sheetFormatPr defaultColWidth="9.00390625" defaultRowHeight="12.75"/>
  <cols>
    <col min="1" max="1" width="3.625" style="6" customWidth="1"/>
    <col min="2" max="2" width="21.25390625" style="0" customWidth="1"/>
    <col min="3" max="3" width="72.75390625" style="0" customWidth="1"/>
    <col min="4" max="4" width="23.75390625" style="0" customWidth="1"/>
    <col min="5" max="5" width="32.375" style="0" customWidth="1"/>
  </cols>
  <sheetData>
    <row r="1" spans="2:5" ht="15" customHeight="1">
      <c r="B1" s="23"/>
      <c r="D1" s="248" t="s">
        <v>17</v>
      </c>
      <c r="E1" s="248"/>
    </row>
    <row r="2" spans="2:5" ht="46.5" customHeight="1">
      <c r="B2" s="23"/>
      <c r="D2" s="248" t="s">
        <v>355</v>
      </c>
      <c r="E2" s="248"/>
    </row>
    <row r="3" spans="1:5" ht="15.75" customHeight="1">
      <c r="A3" s="258" t="s">
        <v>100</v>
      </c>
      <c r="B3" s="258"/>
      <c r="C3" s="258"/>
      <c r="D3" s="258"/>
      <c r="E3" s="258"/>
    </row>
    <row r="4" spans="1:5" ht="40.5" customHeight="1">
      <c r="A4" s="259" t="s">
        <v>127</v>
      </c>
      <c r="B4" s="259"/>
      <c r="C4" s="259"/>
      <c r="D4" s="259"/>
      <c r="E4" s="259"/>
    </row>
    <row r="6" ht="13.5" thickBot="1"/>
    <row r="7" spans="1:5" s="6" customFormat="1" ht="15.75" customHeight="1">
      <c r="A7" s="260" t="s">
        <v>0</v>
      </c>
      <c r="B7" s="244" t="s">
        <v>126</v>
      </c>
      <c r="C7" s="244" t="s">
        <v>128</v>
      </c>
      <c r="D7" s="244" t="s">
        <v>129</v>
      </c>
      <c r="E7" s="262" t="s">
        <v>130</v>
      </c>
    </row>
    <row r="8" spans="1:5" s="6" customFormat="1" ht="36" customHeight="1" thickBot="1">
      <c r="A8" s="261"/>
      <c r="B8" s="245"/>
      <c r="C8" s="245"/>
      <c r="D8" s="245"/>
      <c r="E8" s="263"/>
    </row>
    <row r="9" spans="1:5" s="6" customFormat="1" ht="15.75" customHeight="1" thickBot="1">
      <c r="A9" s="86">
        <v>1</v>
      </c>
      <c r="B9" s="87">
        <v>2</v>
      </c>
      <c r="C9" s="87">
        <v>3</v>
      </c>
      <c r="D9" s="87">
        <v>4</v>
      </c>
      <c r="E9" s="88">
        <v>5</v>
      </c>
    </row>
    <row r="10" spans="1:5" ht="39" customHeight="1">
      <c r="A10" s="49">
        <v>1</v>
      </c>
      <c r="B10" s="84" t="s">
        <v>64</v>
      </c>
      <c r="C10" s="85" t="s">
        <v>229</v>
      </c>
      <c r="D10" s="84" t="s">
        <v>11</v>
      </c>
      <c r="E10" s="84" t="s">
        <v>59</v>
      </c>
    </row>
    <row r="11" spans="1:5" ht="33" customHeight="1">
      <c r="A11" s="45">
        <f aca="true" t="shared" si="0" ref="A11:A16">A10+1</f>
        <v>2</v>
      </c>
      <c r="B11" s="56" t="s">
        <v>64</v>
      </c>
      <c r="C11" s="67" t="s">
        <v>60</v>
      </c>
      <c r="D11" s="56" t="s">
        <v>11</v>
      </c>
      <c r="E11" s="56" t="s">
        <v>61</v>
      </c>
    </row>
    <row r="12" spans="1:5" ht="43.5" customHeight="1">
      <c r="A12" s="45">
        <f t="shared" si="0"/>
        <v>3</v>
      </c>
      <c r="B12" s="56" t="s">
        <v>64</v>
      </c>
      <c r="C12" s="67" t="s">
        <v>230</v>
      </c>
      <c r="D12" s="56" t="s">
        <v>11</v>
      </c>
      <c r="E12" s="56" t="s">
        <v>63</v>
      </c>
    </row>
    <row r="13" spans="1:5" ht="40.5" customHeight="1">
      <c r="A13" s="45">
        <f t="shared" si="0"/>
        <v>4</v>
      </c>
      <c r="B13" s="56" t="s">
        <v>64</v>
      </c>
      <c r="C13" s="67" t="s">
        <v>210</v>
      </c>
      <c r="D13" s="56" t="s">
        <v>11</v>
      </c>
      <c r="E13" s="56" t="s">
        <v>65</v>
      </c>
    </row>
    <row r="14" spans="1:5" ht="58.5" customHeight="1">
      <c r="A14" s="45">
        <f t="shared" si="0"/>
        <v>5</v>
      </c>
      <c r="B14" s="56" t="s">
        <v>64</v>
      </c>
      <c r="C14" s="67" t="s">
        <v>231</v>
      </c>
      <c r="D14" s="56" t="s">
        <v>11</v>
      </c>
      <c r="E14" s="56" t="s">
        <v>63</v>
      </c>
    </row>
    <row r="15" spans="1:5" ht="42.75" customHeight="1">
      <c r="A15" s="45">
        <f t="shared" si="0"/>
        <v>6</v>
      </c>
      <c r="B15" s="56" t="s">
        <v>64</v>
      </c>
      <c r="C15" s="67" t="s">
        <v>62</v>
      </c>
      <c r="D15" s="56" t="s">
        <v>12</v>
      </c>
      <c r="E15" s="56" t="s">
        <v>63</v>
      </c>
    </row>
    <row r="16" spans="1:5" ht="47.25" customHeight="1">
      <c r="A16" s="45">
        <f t="shared" si="0"/>
        <v>7</v>
      </c>
      <c r="B16" s="56" t="s">
        <v>64</v>
      </c>
      <c r="C16" s="67" t="s">
        <v>251</v>
      </c>
      <c r="D16" s="56" t="s">
        <v>12</v>
      </c>
      <c r="E16" s="56" t="s">
        <v>61</v>
      </c>
    </row>
    <row r="17" spans="1:5" ht="21" customHeight="1">
      <c r="A17" s="45"/>
      <c r="B17" s="56"/>
      <c r="C17" s="67"/>
      <c r="D17" s="56"/>
      <c r="E17" s="56"/>
    </row>
  </sheetData>
  <sheetProtection/>
  <mergeCells count="9">
    <mergeCell ref="D1:E1"/>
    <mergeCell ref="D2:E2"/>
    <mergeCell ref="E7:E8"/>
    <mergeCell ref="A3:E3"/>
    <mergeCell ref="A4:E4"/>
    <mergeCell ref="A7:A8"/>
    <mergeCell ref="B7:B8"/>
    <mergeCell ref="C7:C8"/>
    <mergeCell ref="D7:D8"/>
  </mergeCells>
  <printOptions/>
  <pageMargins left="0.7874015748031497" right="0" top="0.35433070866141736" bottom="0" header="0.31496062992125984" footer="0.31496062992125984"/>
  <pageSetup fitToHeight="1000" fitToWidth="100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78"/>
  <sheetViews>
    <sheetView zoomScale="110" zoomScaleNormal="110" zoomScaleSheetLayoutView="90" workbookViewId="0" topLeftCell="A1">
      <pane xSplit="2" ySplit="12" topLeftCell="C13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F1" sqref="F1:F16384"/>
    </sheetView>
  </sheetViews>
  <sheetFormatPr defaultColWidth="9.00390625" defaultRowHeight="12.75" outlineLevelRow="1"/>
  <cols>
    <col min="1" max="1" width="3.625" style="6" customWidth="1"/>
    <col min="2" max="2" width="80.25390625" style="144" customWidth="1"/>
    <col min="3" max="3" width="15.25390625" style="144" customWidth="1"/>
    <col min="4" max="4" width="11.875" style="144" customWidth="1"/>
    <col min="5" max="5" width="12.375" style="144" customWidth="1"/>
    <col min="6" max="6" width="14.375" style="144" customWidth="1"/>
    <col min="7" max="7" width="14.125" style="144" customWidth="1"/>
    <col min="8" max="8" width="14.375" style="144" customWidth="1"/>
    <col min="9" max="9" width="16.00390625" style="0" customWidth="1"/>
    <col min="10" max="10" width="14.875" style="0" customWidth="1"/>
    <col min="11" max="14" width="13.375" style="0" customWidth="1"/>
  </cols>
  <sheetData>
    <row r="1" ht="15.75">
      <c r="E1" s="214" t="s">
        <v>16</v>
      </c>
    </row>
    <row r="2" spans="5:8" ht="15.75">
      <c r="E2" s="214" t="s">
        <v>419</v>
      </c>
      <c r="F2" s="228"/>
      <c r="G2" s="217"/>
      <c r="H2" s="217"/>
    </row>
    <row r="3" spans="5:8" ht="15.75">
      <c r="E3" s="234" t="s">
        <v>420</v>
      </c>
      <c r="F3" s="234"/>
      <c r="G3" s="234"/>
      <c r="H3" s="234"/>
    </row>
    <row r="5" spans="5:10" ht="15" customHeight="1">
      <c r="E5" s="234" t="s">
        <v>18</v>
      </c>
      <c r="F5" s="234"/>
      <c r="G5" s="234"/>
      <c r="H5" s="234"/>
      <c r="I5" s="3"/>
      <c r="J5" s="3"/>
    </row>
    <row r="6" spans="5:10" ht="45" customHeight="1">
      <c r="E6" s="234" t="s">
        <v>355</v>
      </c>
      <c r="F6" s="234"/>
      <c r="G6" s="234"/>
      <c r="H6" s="234"/>
      <c r="I6" s="3"/>
      <c r="J6" s="3"/>
    </row>
    <row r="7" spans="1:9" ht="15.75" customHeight="1">
      <c r="A7" s="258" t="s">
        <v>131</v>
      </c>
      <c r="B7" s="258"/>
      <c r="C7" s="258"/>
      <c r="D7" s="258"/>
      <c r="E7" s="258"/>
      <c r="F7" s="258"/>
      <c r="G7" s="258"/>
      <c r="H7" s="258"/>
      <c r="I7" s="21"/>
    </row>
    <row r="8" spans="1:9" ht="19.5" customHeight="1">
      <c r="A8" s="259" t="s">
        <v>211</v>
      </c>
      <c r="B8" s="259"/>
      <c r="C8" s="259"/>
      <c r="D8" s="259"/>
      <c r="E8" s="259"/>
      <c r="F8" s="259"/>
      <c r="G8" s="259"/>
      <c r="H8" s="259"/>
      <c r="I8" s="18"/>
    </row>
    <row r="9" ht="13.5" thickBot="1"/>
    <row r="10" spans="1:9" s="6" customFormat="1" ht="35.25" customHeight="1">
      <c r="A10" s="260" t="s">
        <v>0</v>
      </c>
      <c r="B10" s="274" t="s">
        <v>78</v>
      </c>
      <c r="C10" s="281" t="s">
        <v>79</v>
      </c>
      <c r="D10" s="282"/>
      <c r="E10" s="284"/>
      <c r="F10" s="281" t="s">
        <v>80</v>
      </c>
      <c r="G10" s="282"/>
      <c r="H10" s="283"/>
      <c r="I10" s="38"/>
    </row>
    <row r="11" spans="1:10" s="6" customFormat="1" ht="22.5" customHeight="1" thickBot="1">
      <c r="A11" s="261"/>
      <c r="B11" s="275"/>
      <c r="C11" s="145" t="s">
        <v>249</v>
      </c>
      <c r="D11" s="145" t="s">
        <v>280</v>
      </c>
      <c r="E11" s="145" t="s">
        <v>346</v>
      </c>
      <c r="F11" s="145" t="s">
        <v>249</v>
      </c>
      <c r="G11" s="145" t="s">
        <v>280</v>
      </c>
      <c r="H11" s="145" t="s">
        <v>346</v>
      </c>
      <c r="I11" s="40"/>
      <c r="J11" s="52"/>
    </row>
    <row r="12" spans="1:9" s="6" customFormat="1" ht="15.75" customHeight="1" thickBot="1">
      <c r="A12" s="36">
        <v>1</v>
      </c>
      <c r="B12" s="146">
        <v>2</v>
      </c>
      <c r="C12" s="146">
        <v>3</v>
      </c>
      <c r="D12" s="146">
        <v>4</v>
      </c>
      <c r="E12" s="146">
        <v>5</v>
      </c>
      <c r="F12" s="146">
        <v>6</v>
      </c>
      <c r="G12" s="146">
        <v>7</v>
      </c>
      <c r="H12" s="147">
        <v>8</v>
      </c>
      <c r="I12" s="33"/>
    </row>
    <row r="13" spans="1:8" ht="15.75">
      <c r="A13" s="50">
        <v>1</v>
      </c>
      <c r="B13" s="264" t="s">
        <v>81</v>
      </c>
      <c r="C13" s="265"/>
      <c r="D13" s="265"/>
      <c r="E13" s="265"/>
      <c r="F13" s="265"/>
      <c r="G13" s="265"/>
      <c r="H13" s="266"/>
    </row>
    <row r="14" spans="1:8" ht="12.75">
      <c r="A14" s="45">
        <v>2</v>
      </c>
      <c r="B14" s="267" t="s">
        <v>82</v>
      </c>
      <c r="C14" s="268"/>
      <c r="D14" s="268"/>
      <c r="E14" s="268"/>
      <c r="F14" s="268"/>
      <c r="G14" s="268"/>
      <c r="H14" s="269"/>
    </row>
    <row r="15" spans="1:8" ht="12.75">
      <c r="A15" s="45">
        <f>A14+1</f>
        <v>3</v>
      </c>
      <c r="B15" s="148" t="s">
        <v>83</v>
      </c>
      <c r="C15" s="148"/>
      <c r="D15" s="148"/>
      <c r="E15" s="149"/>
      <c r="F15" s="149"/>
      <c r="G15" s="149"/>
      <c r="H15" s="150"/>
    </row>
    <row r="16" spans="1:8" ht="33" customHeight="1" thickBot="1">
      <c r="A16" s="46">
        <f aca="true" t="shared" si="0" ref="A16:A50">A15+1</f>
        <v>4</v>
      </c>
      <c r="B16" s="151" t="s">
        <v>133</v>
      </c>
      <c r="C16" s="205">
        <v>2721</v>
      </c>
      <c r="D16" s="205">
        <v>2721</v>
      </c>
      <c r="E16" s="205">
        <v>2721</v>
      </c>
      <c r="F16" s="106">
        <f>81582.51462+31314.69635+167219.28+79468.32+2096.6-F40</f>
        <v>340529.21096999996</v>
      </c>
      <c r="G16" s="106">
        <f>79877.5+30499.56+156223.9+76921.5+2096.6-G40</f>
        <v>324466.8599999999</v>
      </c>
      <c r="H16" s="106">
        <f>76494.74+29792.28+156223.9+76921.5+2096.6-H40</f>
        <v>320376.81999999995</v>
      </c>
    </row>
    <row r="17" spans="1:8" ht="15.75">
      <c r="A17" s="50">
        <f t="shared" si="0"/>
        <v>5</v>
      </c>
      <c r="B17" s="264" t="s">
        <v>84</v>
      </c>
      <c r="C17" s="265"/>
      <c r="D17" s="265"/>
      <c r="E17" s="265"/>
      <c r="F17" s="265"/>
      <c r="G17" s="265"/>
      <c r="H17" s="266"/>
    </row>
    <row r="18" spans="1:8" ht="12.75">
      <c r="A18" s="45">
        <f t="shared" si="0"/>
        <v>6</v>
      </c>
      <c r="B18" s="267" t="s">
        <v>87</v>
      </c>
      <c r="C18" s="268"/>
      <c r="D18" s="268"/>
      <c r="E18" s="268"/>
      <c r="F18" s="268"/>
      <c r="G18" s="268"/>
      <c r="H18" s="269"/>
    </row>
    <row r="19" spans="1:8" ht="12.75">
      <c r="A19" s="45">
        <f t="shared" si="0"/>
        <v>7</v>
      </c>
      <c r="B19" s="148" t="s">
        <v>83</v>
      </c>
      <c r="C19" s="148"/>
      <c r="D19" s="148"/>
      <c r="E19" s="149"/>
      <c r="F19" s="149"/>
      <c r="G19" s="149"/>
      <c r="H19" s="150"/>
    </row>
    <row r="20" spans="1:11" ht="31.5" customHeight="1" thickBot="1">
      <c r="A20" s="46">
        <f t="shared" si="0"/>
        <v>8</v>
      </c>
      <c r="B20" s="151" t="s">
        <v>133</v>
      </c>
      <c r="C20" s="205">
        <v>2478</v>
      </c>
      <c r="D20" s="205">
        <v>2478</v>
      </c>
      <c r="E20" s="205">
        <v>2478</v>
      </c>
      <c r="F20" s="107">
        <f>147192.08917-13268.169+5098.168+10048.194+0.297+2403.932-20000</f>
        <v>131474.51116999998</v>
      </c>
      <c r="G20" s="149">
        <f>151259.35+0.003</f>
        <v>151259.353</v>
      </c>
      <c r="H20" s="150">
        <v>149507.65</v>
      </c>
      <c r="I20" s="65">
        <f>F20+F24+F28</f>
        <v>330721.8615</v>
      </c>
      <c r="J20" s="65">
        <f>G20+G24+G28</f>
        <v>357268.91582000005</v>
      </c>
      <c r="K20" s="65">
        <f>H20+H24+H28</f>
        <v>354031.60282</v>
      </c>
    </row>
    <row r="21" spans="1:9" ht="15.75">
      <c r="A21" s="50">
        <f t="shared" si="0"/>
        <v>9</v>
      </c>
      <c r="B21" s="264" t="s">
        <v>85</v>
      </c>
      <c r="C21" s="265"/>
      <c r="D21" s="265"/>
      <c r="E21" s="265"/>
      <c r="F21" s="265"/>
      <c r="G21" s="265"/>
      <c r="H21" s="266"/>
      <c r="I21" s="65"/>
    </row>
    <row r="22" spans="1:9" ht="12.75">
      <c r="A22" s="45">
        <f t="shared" si="0"/>
        <v>10</v>
      </c>
      <c r="B22" s="267" t="s">
        <v>87</v>
      </c>
      <c r="C22" s="268"/>
      <c r="D22" s="268"/>
      <c r="E22" s="268"/>
      <c r="F22" s="268"/>
      <c r="G22" s="268"/>
      <c r="H22" s="269"/>
      <c r="I22" s="65"/>
    </row>
    <row r="23" spans="1:8" ht="12.75">
      <c r="A23" s="45">
        <f t="shared" si="0"/>
        <v>11</v>
      </c>
      <c r="B23" s="148" t="s">
        <v>83</v>
      </c>
      <c r="C23" s="148"/>
      <c r="D23" s="148"/>
      <c r="E23" s="149"/>
      <c r="F23" s="149"/>
      <c r="G23" s="149"/>
      <c r="H23" s="150"/>
    </row>
    <row r="24" spans="1:8" ht="30" customHeight="1" thickBot="1">
      <c r="A24" s="46">
        <f t="shared" si="0"/>
        <v>12</v>
      </c>
      <c r="B24" s="151" t="s">
        <v>133</v>
      </c>
      <c r="C24" s="205">
        <v>2751</v>
      </c>
      <c r="D24" s="205">
        <v>2751</v>
      </c>
      <c r="E24" s="205">
        <v>2751</v>
      </c>
      <c r="F24" s="107">
        <f>144677.56751+14021+550+10000-10000-327.99</f>
        <v>158920.57751</v>
      </c>
      <c r="G24" s="149">
        <v>165682.79</v>
      </c>
      <c r="H24" s="150">
        <v>164197.18</v>
      </c>
    </row>
    <row r="25" spans="1:8" ht="15.75">
      <c r="A25" s="50">
        <f t="shared" si="0"/>
        <v>13</v>
      </c>
      <c r="B25" s="264" t="s">
        <v>86</v>
      </c>
      <c r="C25" s="265"/>
      <c r="D25" s="265"/>
      <c r="E25" s="265"/>
      <c r="F25" s="265"/>
      <c r="G25" s="265"/>
      <c r="H25" s="266"/>
    </row>
    <row r="26" spans="1:8" ht="12.75">
      <c r="A26" s="45">
        <f t="shared" si="0"/>
        <v>14</v>
      </c>
      <c r="B26" s="267" t="s">
        <v>87</v>
      </c>
      <c r="C26" s="268"/>
      <c r="D26" s="268"/>
      <c r="E26" s="268"/>
      <c r="F26" s="268"/>
      <c r="G26" s="268"/>
      <c r="H26" s="269"/>
    </row>
    <row r="27" spans="1:8" ht="12.75">
      <c r="A27" s="45">
        <f t="shared" si="0"/>
        <v>15</v>
      </c>
      <c r="B27" s="148" t="s">
        <v>83</v>
      </c>
      <c r="C27" s="148"/>
      <c r="D27" s="148"/>
      <c r="E27" s="149"/>
      <c r="F27" s="149"/>
      <c r="G27" s="149"/>
      <c r="H27" s="150"/>
    </row>
    <row r="28" spans="1:8" ht="31.5" customHeight="1" thickBot="1">
      <c r="A28" s="162">
        <f t="shared" si="0"/>
        <v>16</v>
      </c>
      <c r="B28" s="163" t="s">
        <v>133</v>
      </c>
      <c r="C28" s="206">
        <v>512</v>
      </c>
      <c r="D28" s="206">
        <v>512</v>
      </c>
      <c r="E28" s="206">
        <v>512</v>
      </c>
      <c r="F28" s="164">
        <f>30326.77282+10000</f>
        <v>40326.77282</v>
      </c>
      <c r="G28" s="164">
        <f>F28</f>
        <v>40326.77282</v>
      </c>
      <c r="H28" s="165">
        <f>F28</f>
        <v>40326.77282</v>
      </c>
    </row>
    <row r="29" spans="1:8" ht="15.75">
      <c r="A29" s="50">
        <f t="shared" si="0"/>
        <v>17</v>
      </c>
      <c r="B29" s="270" t="s">
        <v>88</v>
      </c>
      <c r="C29" s="270"/>
      <c r="D29" s="270"/>
      <c r="E29" s="270"/>
      <c r="F29" s="270"/>
      <c r="G29" s="270"/>
      <c r="H29" s="271"/>
    </row>
    <row r="30" spans="1:8" ht="12.75">
      <c r="A30" s="45">
        <f t="shared" si="0"/>
        <v>18</v>
      </c>
      <c r="B30" s="276" t="s">
        <v>243</v>
      </c>
      <c r="C30" s="276"/>
      <c r="D30" s="276"/>
      <c r="E30" s="276"/>
      <c r="F30" s="276"/>
      <c r="G30" s="276"/>
      <c r="H30" s="277"/>
    </row>
    <row r="31" spans="1:8" ht="12.75">
      <c r="A31" s="45">
        <f t="shared" si="0"/>
        <v>19</v>
      </c>
      <c r="B31" s="148" t="s">
        <v>83</v>
      </c>
      <c r="C31" s="148"/>
      <c r="D31" s="148"/>
      <c r="E31" s="149"/>
      <c r="F31" s="149"/>
      <c r="G31" s="149"/>
      <c r="H31" s="150"/>
    </row>
    <row r="32" spans="1:14" ht="30">
      <c r="A32" s="45">
        <f t="shared" si="0"/>
        <v>20</v>
      </c>
      <c r="B32" s="152" t="s">
        <v>133</v>
      </c>
      <c r="C32" s="207">
        <v>440033</v>
      </c>
      <c r="D32" s="207">
        <v>440033</v>
      </c>
      <c r="E32" s="207">
        <v>440033</v>
      </c>
      <c r="F32" s="108">
        <f>13082.1+3962.8</f>
        <v>17044.9</v>
      </c>
      <c r="G32" s="108">
        <f>12795.6+3962.8</f>
        <v>16758.4</v>
      </c>
      <c r="H32" s="108">
        <f>12795.6+3962.8</f>
        <v>16758.4</v>
      </c>
      <c r="I32" s="168">
        <f aca="true" t="shared" si="1" ref="I32:N32">C32+C34</f>
        <v>514121</v>
      </c>
      <c r="J32" s="168">
        <f t="shared" si="1"/>
        <v>514121</v>
      </c>
      <c r="K32" s="168">
        <f t="shared" si="1"/>
        <v>514121</v>
      </c>
      <c r="L32" s="168">
        <f t="shared" si="1"/>
        <v>31809.701</v>
      </c>
      <c r="M32" s="168">
        <f t="shared" si="1"/>
        <v>31411.010000000002</v>
      </c>
      <c r="N32" s="168">
        <f t="shared" si="1"/>
        <v>31153.04</v>
      </c>
    </row>
    <row r="33" spans="1:8" ht="12.75">
      <c r="A33" s="45">
        <f t="shared" si="0"/>
        <v>21</v>
      </c>
      <c r="B33" s="148" t="s">
        <v>41</v>
      </c>
      <c r="C33" s="148"/>
      <c r="D33" s="148"/>
      <c r="E33" s="149"/>
      <c r="F33" s="149"/>
      <c r="G33" s="149"/>
      <c r="H33" s="150"/>
    </row>
    <row r="34" spans="1:14" ht="29.25" customHeight="1">
      <c r="A34" s="45">
        <f>A32+1</f>
        <v>21</v>
      </c>
      <c r="B34" s="152" t="s">
        <v>133</v>
      </c>
      <c r="C34" s="208">
        <f>56520+17568</f>
        <v>74088</v>
      </c>
      <c r="D34" s="208">
        <f>56520+17568</f>
        <v>74088</v>
      </c>
      <c r="E34" s="208">
        <f>56520+17568</f>
        <v>74088</v>
      </c>
      <c r="F34" s="108">
        <f>15401.441-F61</f>
        <v>14764.801000000001</v>
      </c>
      <c r="G34" s="108">
        <f>15289.25-G61</f>
        <v>14652.61</v>
      </c>
      <c r="H34" s="108">
        <f>15031.28-H61</f>
        <v>14394.640000000001</v>
      </c>
      <c r="I34">
        <v>656933</v>
      </c>
      <c r="J34">
        <v>656933</v>
      </c>
      <c r="K34">
        <v>656933</v>
      </c>
      <c r="L34">
        <v>37777.3</v>
      </c>
      <c r="M34">
        <v>36511.1</v>
      </c>
      <c r="N34">
        <v>36511.1</v>
      </c>
    </row>
    <row r="35" spans="1:8" ht="29.25" customHeight="1" thickBot="1">
      <c r="A35" s="216">
        <f>A33+1</f>
        <v>22</v>
      </c>
      <c r="B35" s="151" t="s">
        <v>338</v>
      </c>
      <c r="C35" s="209">
        <f>56592+6336</f>
        <v>62928</v>
      </c>
      <c r="D35" s="209">
        <f>56592+6336</f>
        <v>62928</v>
      </c>
      <c r="E35" s="209">
        <f>56592+6336</f>
        <v>62928</v>
      </c>
      <c r="F35" s="106">
        <v>10051.36912</v>
      </c>
      <c r="G35" s="106">
        <v>8381.34</v>
      </c>
      <c r="H35" s="106">
        <v>8381.34</v>
      </c>
    </row>
    <row r="36" spans="1:8" ht="15.75">
      <c r="A36" s="49">
        <f t="shared" si="0"/>
        <v>23</v>
      </c>
      <c r="B36" s="278" t="s">
        <v>132</v>
      </c>
      <c r="C36" s="279"/>
      <c r="D36" s="279"/>
      <c r="E36" s="279"/>
      <c r="F36" s="279"/>
      <c r="G36" s="279"/>
      <c r="H36" s="280"/>
    </row>
    <row r="37" spans="1:8" ht="12.75">
      <c r="A37" s="49">
        <f t="shared" si="0"/>
        <v>24</v>
      </c>
      <c r="B37" s="267" t="s">
        <v>82</v>
      </c>
      <c r="C37" s="268"/>
      <c r="D37" s="268"/>
      <c r="E37" s="268"/>
      <c r="F37" s="268"/>
      <c r="G37" s="268"/>
      <c r="H37" s="269"/>
    </row>
    <row r="38" spans="1:8" ht="13.5" customHeight="1">
      <c r="A38" s="49">
        <f t="shared" si="0"/>
        <v>25</v>
      </c>
      <c r="B38" s="148" t="s">
        <v>83</v>
      </c>
      <c r="C38" s="153"/>
      <c r="D38" s="153"/>
      <c r="E38" s="154"/>
      <c r="F38" s="154"/>
      <c r="G38" s="154"/>
      <c r="H38" s="155"/>
    </row>
    <row r="39" spans="1:14" ht="60.75" customHeight="1">
      <c r="A39" s="49">
        <f t="shared" si="0"/>
        <v>26</v>
      </c>
      <c r="B39" s="152" t="s">
        <v>134</v>
      </c>
      <c r="C39" s="149">
        <v>250</v>
      </c>
      <c r="D39" s="149">
        <v>250</v>
      </c>
      <c r="E39" s="149">
        <v>250</v>
      </c>
      <c r="F39" s="109">
        <v>2989.02145</v>
      </c>
      <c r="G39" s="109">
        <v>2989.02145</v>
      </c>
      <c r="H39" s="109">
        <v>2989.02145</v>
      </c>
      <c r="I39" s="169"/>
      <c r="J39" s="169"/>
      <c r="K39" s="169"/>
      <c r="L39" s="169"/>
      <c r="M39" s="169"/>
      <c r="N39" s="169"/>
    </row>
    <row r="40" spans="1:8" ht="66" customHeight="1" thickBot="1">
      <c r="A40" s="68">
        <f t="shared" si="0"/>
        <v>27</v>
      </c>
      <c r="B40" s="156" t="s">
        <v>244</v>
      </c>
      <c r="C40" s="205">
        <v>2715</v>
      </c>
      <c r="D40" s="205">
        <v>2715</v>
      </c>
      <c r="E40" s="205">
        <v>2715</v>
      </c>
      <c r="F40" s="111">
        <f>19055.6+2096.6</f>
        <v>21152.199999999997</v>
      </c>
      <c r="G40" s="111">
        <f>19055.6+2096.6</f>
        <v>21152.199999999997</v>
      </c>
      <c r="H40" s="111">
        <f>19055.6+2096.6</f>
        <v>21152.199999999997</v>
      </c>
    </row>
    <row r="41" spans="1:8" ht="15.75">
      <c r="A41" s="50">
        <f t="shared" si="0"/>
        <v>28</v>
      </c>
      <c r="B41" s="264" t="s">
        <v>135</v>
      </c>
      <c r="C41" s="265"/>
      <c r="D41" s="265"/>
      <c r="E41" s="265"/>
      <c r="F41" s="265"/>
      <c r="G41" s="265"/>
      <c r="H41" s="266"/>
    </row>
    <row r="42" spans="1:8" ht="12.75">
      <c r="A42" s="49">
        <f t="shared" si="0"/>
        <v>29</v>
      </c>
      <c r="B42" s="267" t="s">
        <v>87</v>
      </c>
      <c r="C42" s="268"/>
      <c r="D42" s="268"/>
      <c r="E42" s="268"/>
      <c r="F42" s="268"/>
      <c r="G42" s="268"/>
      <c r="H42" s="269"/>
    </row>
    <row r="43" spans="1:8" ht="12.75">
      <c r="A43" s="49">
        <f t="shared" si="0"/>
        <v>30</v>
      </c>
      <c r="B43" s="148" t="s">
        <v>83</v>
      </c>
      <c r="C43" s="148"/>
      <c r="D43" s="148"/>
      <c r="E43" s="149"/>
      <c r="F43" s="149"/>
      <c r="G43" s="149"/>
      <c r="H43" s="150"/>
    </row>
    <row r="44" spans="1:8" ht="45.75" thickBot="1">
      <c r="A44" s="68">
        <f t="shared" si="0"/>
        <v>31</v>
      </c>
      <c r="B44" s="151" t="s">
        <v>136</v>
      </c>
      <c r="C44" s="205">
        <v>753</v>
      </c>
      <c r="D44" s="205">
        <v>753</v>
      </c>
      <c r="E44" s="205">
        <v>753</v>
      </c>
      <c r="F44" s="111">
        <f>10011.1+4193.5</f>
        <v>14204.6</v>
      </c>
      <c r="G44" s="111">
        <f>7587.9+3258</f>
        <v>10845.9</v>
      </c>
      <c r="H44" s="111">
        <f>9383.2+4024.5</f>
        <v>13407.7</v>
      </c>
    </row>
    <row r="45" spans="1:8" ht="15.75">
      <c r="A45" s="50">
        <f t="shared" si="0"/>
        <v>32</v>
      </c>
      <c r="B45" s="264" t="s">
        <v>137</v>
      </c>
      <c r="C45" s="265"/>
      <c r="D45" s="265"/>
      <c r="E45" s="265"/>
      <c r="F45" s="265"/>
      <c r="G45" s="265"/>
      <c r="H45" s="266"/>
    </row>
    <row r="46" spans="1:8" ht="12.75">
      <c r="A46" s="49">
        <f t="shared" si="0"/>
        <v>33</v>
      </c>
      <c r="B46" s="267" t="s">
        <v>87</v>
      </c>
      <c r="C46" s="268"/>
      <c r="D46" s="268"/>
      <c r="E46" s="268"/>
      <c r="F46" s="268"/>
      <c r="G46" s="268"/>
      <c r="H46" s="269"/>
    </row>
    <row r="47" spans="1:8" ht="12.75">
      <c r="A47" s="49">
        <f t="shared" si="0"/>
        <v>34</v>
      </c>
      <c r="B47" s="148" t="s">
        <v>83</v>
      </c>
      <c r="C47" s="148"/>
      <c r="D47" s="148"/>
      <c r="E47" s="149"/>
      <c r="F47" s="149"/>
      <c r="G47" s="149"/>
      <c r="H47" s="150"/>
    </row>
    <row r="48" spans="1:14" ht="30">
      <c r="A48" s="45">
        <f t="shared" si="0"/>
        <v>35</v>
      </c>
      <c r="B48" s="152" t="s">
        <v>42</v>
      </c>
      <c r="C48" s="210">
        <v>742</v>
      </c>
      <c r="D48" s="210">
        <v>742</v>
      </c>
      <c r="E48" s="210">
        <v>742</v>
      </c>
      <c r="F48" s="110">
        <v>1991.5308</v>
      </c>
      <c r="G48" s="110">
        <v>2007.9</v>
      </c>
      <c r="H48" s="110">
        <v>2007.9</v>
      </c>
      <c r="I48" s="169">
        <f>C48+C50+C51+C53</f>
        <v>1754</v>
      </c>
      <c r="J48" s="169">
        <f>D48+D50+D51+D53</f>
        <v>1754</v>
      </c>
      <c r="K48" s="169">
        <f>E48+E50+E51+E53</f>
        <v>1754</v>
      </c>
      <c r="L48" s="169">
        <f>F48+F50+F51+F52+F53</f>
        <v>13531.928</v>
      </c>
      <c r="M48" s="169">
        <f>G48+G50+G51+G52+G53</f>
        <v>13442.2596</v>
      </c>
      <c r="N48" s="169">
        <f>H48+H50+H51+H52+H53</f>
        <v>13442.2596</v>
      </c>
    </row>
    <row r="49" spans="1:8" ht="12.75">
      <c r="A49" s="45">
        <f t="shared" si="0"/>
        <v>36</v>
      </c>
      <c r="B49" s="148" t="s">
        <v>41</v>
      </c>
      <c r="C49" s="148"/>
      <c r="D49" s="148"/>
      <c r="E49" s="149"/>
      <c r="F49" s="149"/>
      <c r="G49" s="149"/>
      <c r="H49" s="157"/>
    </row>
    <row r="50" spans="1:14" ht="36.75" customHeight="1">
      <c r="A50" s="45">
        <f t="shared" si="0"/>
        <v>37</v>
      </c>
      <c r="B50" s="152" t="s">
        <v>42</v>
      </c>
      <c r="C50" s="210">
        <v>580</v>
      </c>
      <c r="D50" s="210">
        <v>580</v>
      </c>
      <c r="E50" s="210">
        <v>580</v>
      </c>
      <c r="F50" s="110">
        <f>1136.268+327.8</f>
        <v>1464.068</v>
      </c>
      <c r="G50" s="110">
        <f>1125.7218+327.8</f>
        <v>1453.5218</v>
      </c>
      <c r="H50" s="110">
        <f>1125.7218+327.8</f>
        <v>1453.5218</v>
      </c>
      <c r="I50" s="178">
        <v>1749</v>
      </c>
      <c r="J50" s="170">
        <v>1749</v>
      </c>
      <c r="K50" s="170">
        <v>1749</v>
      </c>
      <c r="L50" s="170">
        <v>13391.73</v>
      </c>
      <c r="M50" s="170">
        <v>12516.72</v>
      </c>
      <c r="N50" s="170">
        <v>12516.72</v>
      </c>
    </row>
    <row r="51" spans="1:8" ht="33.75" customHeight="1">
      <c r="A51" s="91">
        <v>38</v>
      </c>
      <c r="B51" s="152" t="s">
        <v>261</v>
      </c>
      <c r="C51" s="272">
        <v>428</v>
      </c>
      <c r="D51" s="272">
        <v>428</v>
      </c>
      <c r="E51" s="272">
        <v>428</v>
      </c>
      <c r="F51" s="110">
        <f>6663.6592-327.8</f>
        <v>6335.8592</v>
      </c>
      <c r="G51" s="110">
        <f>6673.0178-327.8</f>
        <v>6345.217799999999</v>
      </c>
      <c r="H51" s="110">
        <f>6673.0178-327.8</f>
        <v>6345.217799999999</v>
      </c>
    </row>
    <row r="52" spans="1:8" ht="33.75" customHeight="1">
      <c r="A52" s="45">
        <v>39</v>
      </c>
      <c r="B52" s="152" t="s">
        <v>133</v>
      </c>
      <c r="C52" s="273"/>
      <c r="D52" s="273"/>
      <c r="E52" s="273"/>
      <c r="F52" s="158">
        <v>3297.77</v>
      </c>
      <c r="G52" s="158">
        <v>3192.92</v>
      </c>
      <c r="H52" s="158">
        <v>3192.92</v>
      </c>
    </row>
    <row r="53" spans="1:9" ht="96" customHeight="1" thickBot="1">
      <c r="A53" s="46">
        <v>40</v>
      </c>
      <c r="B53" s="151" t="s">
        <v>262</v>
      </c>
      <c r="C53" s="211">
        <v>4</v>
      </c>
      <c r="D53" s="211">
        <v>4</v>
      </c>
      <c r="E53" s="211">
        <v>4</v>
      </c>
      <c r="F53" s="111">
        <v>442.7</v>
      </c>
      <c r="G53" s="111">
        <v>442.7</v>
      </c>
      <c r="H53" s="111">
        <v>442.7</v>
      </c>
      <c r="I53" s="169"/>
    </row>
    <row r="54" spans="1:8" ht="15.75">
      <c r="A54" s="50">
        <f aca="true" t="shared" si="2" ref="A54:A61">A53+1</f>
        <v>41</v>
      </c>
      <c r="B54" s="264" t="s">
        <v>281</v>
      </c>
      <c r="C54" s="265"/>
      <c r="D54" s="265"/>
      <c r="E54" s="265"/>
      <c r="F54" s="265"/>
      <c r="G54" s="265"/>
      <c r="H54" s="266"/>
    </row>
    <row r="55" spans="1:8" ht="12.75">
      <c r="A55" s="49">
        <f t="shared" si="2"/>
        <v>42</v>
      </c>
      <c r="B55" s="267" t="s">
        <v>282</v>
      </c>
      <c r="C55" s="268"/>
      <c r="D55" s="268"/>
      <c r="E55" s="268"/>
      <c r="F55" s="268"/>
      <c r="G55" s="268"/>
      <c r="H55" s="269"/>
    </row>
    <row r="56" spans="1:8" ht="12.75">
      <c r="A56" s="49">
        <f t="shared" si="2"/>
        <v>43</v>
      </c>
      <c r="B56" s="148" t="s">
        <v>83</v>
      </c>
      <c r="C56" s="148"/>
      <c r="D56" s="148"/>
      <c r="E56" s="149"/>
      <c r="F56" s="149"/>
      <c r="G56" s="149"/>
      <c r="H56" s="150"/>
    </row>
    <row r="57" spans="1:8" ht="30.75" thickBot="1">
      <c r="A57" s="46">
        <f t="shared" si="2"/>
        <v>44</v>
      </c>
      <c r="B57" s="151" t="s">
        <v>133</v>
      </c>
      <c r="C57" s="211">
        <f>1176+1280+370</f>
        <v>2826</v>
      </c>
      <c r="D57" s="211">
        <f>1176+1280+370</f>
        <v>2826</v>
      </c>
      <c r="E57" s="211">
        <f>1176+1280+370</f>
        <v>2826</v>
      </c>
      <c r="F57" s="111">
        <v>2180.4</v>
      </c>
      <c r="G57" s="111">
        <v>2180.4</v>
      </c>
      <c r="H57" s="111">
        <v>2180.4</v>
      </c>
    </row>
    <row r="58" spans="1:8" ht="15.75">
      <c r="A58" s="50">
        <f t="shared" si="2"/>
        <v>45</v>
      </c>
      <c r="B58" s="264" t="s">
        <v>339</v>
      </c>
      <c r="C58" s="265"/>
      <c r="D58" s="265"/>
      <c r="E58" s="265"/>
      <c r="F58" s="265"/>
      <c r="G58" s="265"/>
      <c r="H58" s="266"/>
    </row>
    <row r="59" spans="1:8" ht="12.75">
      <c r="A59" s="49">
        <f t="shared" si="2"/>
        <v>46</v>
      </c>
      <c r="B59" s="267" t="s">
        <v>340</v>
      </c>
      <c r="C59" s="268"/>
      <c r="D59" s="268"/>
      <c r="E59" s="268"/>
      <c r="F59" s="268"/>
      <c r="G59" s="268"/>
      <c r="H59" s="269"/>
    </row>
    <row r="60" spans="1:8" ht="12.75">
      <c r="A60" s="49">
        <f t="shared" si="2"/>
        <v>47</v>
      </c>
      <c r="B60" s="148" t="s">
        <v>41</v>
      </c>
      <c r="C60" s="148"/>
      <c r="D60" s="148"/>
      <c r="E60" s="149"/>
      <c r="F60" s="149"/>
      <c r="G60" s="149"/>
      <c r="H60" s="150"/>
    </row>
    <row r="61" spans="1:8" ht="30.75" thickBot="1">
      <c r="A61" s="46">
        <f t="shared" si="2"/>
        <v>48</v>
      </c>
      <c r="B61" s="151" t="s">
        <v>133</v>
      </c>
      <c r="C61" s="211">
        <v>12</v>
      </c>
      <c r="D61" s="211">
        <v>12</v>
      </c>
      <c r="E61" s="211">
        <v>12</v>
      </c>
      <c r="F61" s="111">
        <v>636.64</v>
      </c>
      <c r="G61" s="111">
        <v>636.64</v>
      </c>
      <c r="H61" s="177">
        <v>636.64</v>
      </c>
    </row>
    <row r="62" spans="1:8" ht="15">
      <c r="A62" s="173"/>
      <c r="B62" s="174"/>
      <c r="C62" s="175"/>
      <c r="D62" s="175"/>
      <c r="E62" s="175"/>
      <c r="F62" s="176"/>
      <c r="G62" s="176"/>
      <c r="H62" s="176"/>
    </row>
    <row r="63" spans="1:8" ht="15">
      <c r="A63" s="173"/>
      <c r="B63" s="174"/>
      <c r="C63" s="175"/>
      <c r="D63" s="175"/>
      <c r="E63" s="175"/>
      <c r="F63" s="176"/>
      <c r="G63" s="176"/>
      <c r="H63" s="176"/>
    </row>
    <row r="64" spans="1:8" ht="15">
      <c r="A64" s="173"/>
      <c r="B64" s="174"/>
      <c r="C64" s="175"/>
      <c r="D64" s="175"/>
      <c r="E64" s="175"/>
      <c r="F64" s="176"/>
      <c r="G64" s="176"/>
      <c r="H64" s="176"/>
    </row>
    <row r="65" spans="1:8" ht="15">
      <c r="A65" s="173"/>
      <c r="B65" s="174"/>
      <c r="C65" s="175"/>
      <c r="D65" s="175"/>
      <c r="E65" s="175"/>
      <c r="F65" s="176"/>
      <c r="G65" s="176"/>
      <c r="H65" s="176"/>
    </row>
    <row r="66" spans="1:8" ht="15">
      <c r="A66" s="173"/>
      <c r="B66" s="174"/>
      <c r="C66" s="175"/>
      <c r="D66" s="175"/>
      <c r="E66" s="175"/>
      <c r="F66" s="176"/>
      <c r="G66" s="176"/>
      <c r="H66" s="176"/>
    </row>
    <row r="67" spans="1:8" ht="15">
      <c r="A67" s="173"/>
      <c r="B67" s="174"/>
      <c r="C67" s="175"/>
      <c r="D67" s="175"/>
      <c r="E67" s="175"/>
      <c r="F67" s="176"/>
      <c r="G67" s="176"/>
      <c r="H67" s="176"/>
    </row>
    <row r="68" spans="2:10" ht="12.75" hidden="1" outlineLevel="1">
      <c r="B68" s="16"/>
      <c r="C68" s="16"/>
      <c r="D68" s="16"/>
      <c r="H68" s="144">
        <v>2021</v>
      </c>
      <c r="I68">
        <v>2022</v>
      </c>
      <c r="J68">
        <v>2023</v>
      </c>
    </row>
    <row r="69" spans="2:9" ht="12.75" hidden="1" outlineLevel="1">
      <c r="B69" s="16"/>
      <c r="C69" s="16"/>
      <c r="D69" s="16"/>
      <c r="G69" s="159" t="s">
        <v>245</v>
      </c>
      <c r="H69" s="160"/>
      <c r="I69" s="74"/>
    </row>
    <row r="70" spans="7:10" ht="12.75" hidden="1" outlineLevel="1">
      <c r="G70" s="144" t="s">
        <v>246</v>
      </c>
      <c r="H70" s="160">
        <f>53482.41664+32.4+19765.31636+80.5+27.25+30106.21+14685.5+149161.29+68550.4</f>
        <v>335891.28300000005</v>
      </c>
      <c r="I70">
        <f>51821.2136+18723.624+30701.2+44055.3+217137</f>
        <v>362438.33759999997</v>
      </c>
      <c r="J70">
        <f>49290.80884+18016.715+30701.2+44055.3+217137</f>
        <v>359201.02384</v>
      </c>
    </row>
    <row r="71" spans="7:10" ht="12.75" hidden="1" outlineLevel="1">
      <c r="G71" s="144" t="s">
        <v>247</v>
      </c>
      <c r="H71" s="160">
        <f>F57+F39+F28+F24+F20</f>
        <v>335891.28295</v>
      </c>
      <c r="I71" s="160">
        <f>G57+G39+G28+G24+G20</f>
        <v>362438.33727</v>
      </c>
      <c r="J71" s="160">
        <f>H57+H39+H28+H24+H20</f>
        <v>359201.02427</v>
      </c>
    </row>
    <row r="72" spans="8:10" ht="12.75" hidden="1" outlineLevel="1">
      <c r="H72" s="160">
        <f>H70-H71</f>
        <v>5.000003147870302E-05</v>
      </c>
      <c r="I72" s="74">
        <f>I70-I71</f>
        <v>0.0003299999516457319</v>
      </c>
      <c r="J72" s="74">
        <f>J70-J71</f>
        <v>-0.00043000001460313797</v>
      </c>
    </row>
    <row r="73" spans="8:9" ht="12.75" hidden="1" outlineLevel="1">
      <c r="H73" s="159"/>
      <c r="I73" s="74"/>
    </row>
    <row r="74" ht="12.75" hidden="1" outlineLevel="1"/>
    <row r="75" ht="12.75" collapsed="1"/>
    <row r="78" spans="6:8" ht="12.75">
      <c r="F78" s="159"/>
      <c r="G78" s="159"/>
      <c r="H78" s="159"/>
    </row>
  </sheetData>
  <sheetProtection/>
  <mergeCells count="32">
    <mergeCell ref="B46:H46"/>
    <mergeCell ref="F10:H10"/>
    <mergeCell ref="D51:D52"/>
    <mergeCell ref="B41:H41"/>
    <mergeCell ref="C10:E10"/>
    <mergeCell ref="B17:H17"/>
    <mergeCell ref="B59:H59"/>
    <mergeCell ref="B55:H55"/>
    <mergeCell ref="B18:H18"/>
    <mergeCell ref="B21:H21"/>
    <mergeCell ref="C51:C52"/>
    <mergeCell ref="B22:H22"/>
    <mergeCell ref="B58:H58"/>
    <mergeCell ref="B45:H45"/>
    <mergeCell ref="B37:H37"/>
    <mergeCell ref="B36:H36"/>
    <mergeCell ref="A8:H8"/>
    <mergeCell ref="B26:H26"/>
    <mergeCell ref="B10:B11"/>
    <mergeCell ref="B30:H30"/>
    <mergeCell ref="A10:A11"/>
    <mergeCell ref="B25:H25"/>
    <mergeCell ref="E3:H3"/>
    <mergeCell ref="B54:H54"/>
    <mergeCell ref="A7:H7"/>
    <mergeCell ref="B13:H13"/>
    <mergeCell ref="B14:H14"/>
    <mergeCell ref="B42:H42"/>
    <mergeCell ref="B29:H29"/>
    <mergeCell ref="E51:E52"/>
    <mergeCell ref="E5:H5"/>
    <mergeCell ref="E6:H6"/>
  </mergeCells>
  <printOptions/>
  <pageMargins left="0.3937007874015748" right="0" top="0.35433070866141736" bottom="0" header="0.31496062992125984" footer="0.31496062992125984"/>
  <pageSetup fitToHeight="1000" fitToWidth="1000" horizontalDpi="600" verticalDpi="600" orientation="landscape" paperSize="9" scale="75" r:id="rId1"/>
  <rowBreaks count="1" manualBreakCount="1">
    <brk id="3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236"/>
  <sheetViews>
    <sheetView zoomScale="120" zoomScaleNormal="120" zoomScaleSheetLayoutView="110" workbookViewId="0" topLeftCell="A1">
      <pane xSplit="8" ySplit="14" topLeftCell="I19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I172" sqref="I172:I175"/>
    </sheetView>
  </sheetViews>
  <sheetFormatPr defaultColWidth="9.00390625" defaultRowHeight="12.75" outlineLevelRow="1"/>
  <cols>
    <col min="1" max="1" width="3.625" style="0" customWidth="1"/>
    <col min="2" max="2" width="11.25390625" style="0" customWidth="1"/>
    <col min="3" max="3" width="40.125" style="0" customWidth="1"/>
    <col min="4" max="4" width="16.25390625" style="0" customWidth="1"/>
    <col min="5" max="6" width="5.875" style="0" customWidth="1"/>
    <col min="7" max="7" width="12.375" style="0" customWidth="1"/>
    <col min="8" max="8" width="4.75390625" style="0" customWidth="1"/>
    <col min="9" max="11" width="16.25390625" style="0" customWidth="1"/>
    <col min="12" max="12" width="17.125" style="0" customWidth="1"/>
    <col min="13" max="13" width="14.375" style="0" customWidth="1"/>
    <col min="14" max="14" width="16.625" style="0" customWidth="1"/>
    <col min="15" max="15" width="15.25390625" style="0" customWidth="1"/>
    <col min="16" max="16" width="13.625" style="0" customWidth="1"/>
  </cols>
  <sheetData>
    <row r="1" spans="10:13" ht="15.75">
      <c r="J1" s="214" t="s">
        <v>17</v>
      </c>
      <c r="K1" s="144"/>
      <c r="L1" s="144"/>
      <c r="M1" s="144"/>
    </row>
    <row r="2" spans="10:13" ht="15.75">
      <c r="J2" s="214" t="s">
        <v>419</v>
      </c>
      <c r="K2" s="213"/>
      <c r="L2" s="5"/>
      <c r="M2" s="5"/>
    </row>
    <row r="3" spans="10:13" ht="15.75" customHeight="1">
      <c r="J3" s="234" t="s">
        <v>420</v>
      </c>
      <c r="K3" s="234"/>
      <c r="L3" s="234"/>
      <c r="M3" s="199"/>
    </row>
    <row r="5" spans="9:12" ht="17.25" customHeight="1">
      <c r="I5" s="3"/>
      <c r="J5" s="248" t="s">
        <v>138</v>
      </c>
      <c r="K5" s="248"/>
      <c r="L5" s="248"/>
    </row>
    <row r="6" spans="9:13" ht="46.5" customHeight="1">
      <c r="I6" s="3"/>
      <c r="J6" s="248" t="s">
        <v>355</v>
      </c>
      <c r="K6" s="248"/>
      <c r="L6" s="248"/>
      <c r="M6" s="3"/>
    </row>
    <row r="7" spans="3:12" ht="15.75" customHeight="1">
      <c r="C7" s="259" t="s">
        <v>139</v>
      </c>
      <c r="D7" s="259"/>
      <c r="E7" s="259"/>
      <c r="F7" s="259"/>
      <c r="G7" s="259"/>
      <c r="H7" s="259"/>
      <c r="I7" s="259"/>
      <c r="J7" s="259"/>
      <c r="K7" s="259"/>
      <c r="L7" s="259"/>
    </row>
    <row r="8" spans="3:12" ht="14.25" customHeight="1">
      <c r="C8" s="259" t="s">
        <v>140</v>
      </c>
      <c r="D8" s="259"/>
      <c r="E8" s="259"/>
      <c r="F8" s="259"/>
      <c r="G8" s="259"/>
      <c r="H8" s="259"/>
      <c r="I8" s="259"/>
      <c r="J8" s="259"/>
      <c r="K8" s="259"/>
      <c r="L8" s="259"/>
    </row>
    <row r="10" ht="13.5" thickBot="1">
      <c r="L10" t="s">
        <v>40</v>
      </c>
    </row>
    <row r="11" spans="1:12" s="6" customFormat="1" ht="36" customHeight="1">
      <c r="A11" s="260" t="s">
        <v>0</v>
      </c>
      <c r="B11" s="262" t="s">
        <v>143</v>
      </c>
      <c r="C11" s="244" t="s">
        <v>36</v>
      </c>
      <c r="D11" s="244" t="s">
        <v>37</v>
      </c>
      <c r="E11" s="244" t="s">
        <v>39</v>
      </c>
      <c r="F11" s="244"/>
      <c r="G11" s="244"/>
      <c r="H11" s="244"/>
      <c r="I11" s="317" t="s">
        <v>141</v>
      </c>
      <c r="J11" s="318"/>
      <c r="K11" s="318"/>
      <c r="L11" s="319"/>
    </row>
    <row r="12" spans="1:12" s="6" customFormat="1" ht="19.5" customHeight="1" thickBot="1">
      <c r="A12" s="261"/>
      <c r="B12" s="263"/>
      <c r="C12" s="245"/>
      <c r="D12" s="245"/>
      <c r="E12" s="17" t="s">
        <v>2</v>
      </c>
      <c r="F12" s="17" t="s">
        <v>5</v>
      </c>
      <c r="G12" s="17" t="s">
        <v>3</v>
      </c>
      <c r="H12" s="17" t="s">
        <v>4</v>
      </c>
      <c r="I12" s="27" t="s">
        <v>249</v>
      </c>
      <c r="J12" s="27" t="s">
        <v>280</v>
      </c>
      <c r="K12" s="27" t="s">
        <v>346</v>
      </c>
      <c r="L12" s="28" t="s">
        <v>142</v>
      </c>
    </row>
    <row r="13" spans="1:12" s="6" customFormat="1" ht="15.75" customHeight="1" thickBot="1">
      <c r="A13" s="36">
        <v>1</v>
      </c>
      <c r="B13" s="69"/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  <c r="I13" s="19">
        <v>8</v>
      </c>
      <c r="J13" s="19">
        <v>9</v>
      </c>
      <c r="K13" s="19">
        <v>10</v>
      </c>
      <c r="L13" s="37">
        <v>11</v>
      </c>
    </row>
    <row r="14" spans="1:16" s="6" customFormat="1" ht="15" customHeight="1">
      <c r="A14" s="315">
        <v>1</v>
      </c>
      <c r="B14" s="320" t="s">
        <v>146</v>
      </c>
      <c r="C14" s="312" t="s">
        <v>145</v>
      </c>
      <c r="D14" s="24" t="s">
        <v>38</v>
      </c>
      <c r="E14" s="25" t="s">
        <v>14</v>
      </c>
      <c r="F14" s="25" t="s">
        <v>14</v>
      </c>
      <c r="G14" s="25" t="s">
        <v>14</v>
      </c>
      <c r="H14" s="25" t="s">
        <v>14</v>
      </c>
      <c r="I14" s="76">
        <f>I15+I16</f>
        <v>971844.3836099999</v>
      </c>
      <c r="J14" s="76">
        <f>J15+J16</f>
        <v>932084.83523</v>
      </c>
      <c r="K14" s="76">
        <f>K15+K16</f>
        <v>922199.7266899998</v>
      </c>
      <c r="L14" s="77">
        <f>L15+L16</f>
        <v>2826128.94553</v>
      </c>
      <c r="P14" s="29">
        <f>O14+N14+M14</f>
        <v>0</v>
      </c>
    </row>
    <row r="15" spans="1:16" s="6" customFormat="1" ht="53.25" customHeight="1">
      <c r="A15" s="316"/>
      <c r="B15" s="287"/>
      <c r="C15" s="313"/>
      <c r="D15" s="8" t="s">
        <v>144</v>
      </c>
      <c r="E15" s="9" t="s">
        <v>13</v>
      </c>
      <c r="F15" s="7" t="s">
        <v>14</v>
      </c>
      <c r="G15" s="7" t="s">
        <v>14</v>
      </c>
      <c r="H15" s="7" t="s">
        <v>14</v>
      </c>
      <c r="I15" s="70">
        <f aca="true" t="shared" si="0" ref="I15:L16">I18+I137+I170+I182</f>
        <v>954136.5428699999</v>
      </c>
      <c r="J15" s="70">
        <f t="shared" si="0"/>
        <v>909159.5354299999</v>
      </c>
      <c r="K15" s="70">
        <f t="shared" si="0"/>
        <v>905649.9268899998</v>
      </c>
      <c r="L15" s="78">
        <f t="shared" si="0"/>
        <v>2768946.00519</v>
      </c>
      <c r="M15" s="114">
        <f>I14-M14</f>
        <v>971844.3836099999</v>
      </c>
      <c r="N15" s="114">
        <f>J14-N14</f>
        <v>932084.83523</v>
      </c>
      <c r="O15" s="114">
        <f>K14-O14</f>
        <v>922199.7266899998</v>
      </c>
      <c r="P15" s="29">
        <f>O15+N15+M15</f>
        <v>2826128.9455299997</v>
      </c>
    </row>
    <row r="16" spans="1:16" s="6" customFormat="1" ht="29.25" customHeight="1">
      <c r="A16" s="316"/>
      <c r="B16" s="287"/>
      <c r="C16" s="313"/>
      <c r="D16" s="8" t="s">
        <v>12</v>
      </c>
      <c r="E16" s="7">
        <v>162</v>
      </c>
      <c r="F16" s="7" t="s">
        <v>14</v>
      </c>
      <c r="G16" s="7" t="s">
        <v>14</v>
      </c>
      <c r="H16" s="7" t="s">
        <v>14</v>
      </c>
      <c r="I16" s="70">
        <f t="shared" si="0"/>
        <v>17707.84074</v>
      </c>
      <c r="J16" s="70">
        <f t="shared" si="0"/>
        <v>22925.2998</v>
      </c>
      <c r="K16" s="70">
        <f t="shared" si="0"/>
        <v>16549.7998</v>
      </c>
      <c r="L16" s="78">
        <f t="shared" si="0"/>
        <v>57182.94034</v>
      </c>
      <c r="M16" s="137">
        <f>I16-I155</f>
        <v>17302.66274</v>
      </c>
      <c r="N16" s="137">
        <f>J16-J155</f>
        <v>22520.1218</v>
      </c>
      <c r="O16" s="137">
        <f>K16-K155</f>
        <v>16144.6218</v>
      </c>
      <c r="P16" s="137">
        <f>L16-L155</f>
        <v>55967.40634</v>
      </c>
    </row>
    <row r="17" spans="1:16" s="29" customFormat="1" ht="14.25" customHeight="1">
      <c r="A17" s="307">
        <v>2</v>
      </c>
      <c r="B17" s="305" t="s">
        <v>148</v>
      </c>
      <c r="C17" s="306" t="s">
        <v>147</v>
      </c>
      <c r="D17" s="75" t="s">
        <v>38</v>
      </c>
      <c r="E17" s="32" t="s">
        <v>14</v>
      </c>
      <c r="F17" s="32" t="s">
        <v>14</v>
      </c>
      <c r="G17" s="32" t="s">
        <v>14</v>
      </c>
      <c r="H17" s="32" t="s">
        <v>14</v>
      </c>
      <c r="I17" s="71">
        <f>I18+I19</f>
        <v>860556.6035999999</v>
      </c>
      <c r="J17" s="71">
        <f>J18+J19</f>
        <v>819583.8572300001</v>
      </c>
      <c r="K17" s="71">
        <f>K18+K19</f>
        <v>816774.4309299998</v>
      </c>
      <c r="L17" s="71">
        <f>L18+L19</f>
        <v>2496914.89176</v>
      </c>
      <c r="M17" s="232">
        <f>I17-I46-I77</f>
        <v>819970.98226</v>
      </c>
      <c r="N17" s="223">
        <f>J17-J46-J77</f>
        <v>785682.56723</v>
      </c>
      <c r="O17" s="223">
        <f>K17-K46-K77</f>
        <v>782873.1409299998</v>
      </c>
      <c r="P17" s="223">
        <f>O17+N17+M17</f>
        <v>2388526.69042</v>
      </c>
    </row>
    <row r="18" spans="1:12" s="29" customFormat="1" ht="27.75" customHeight="1">
      <c r="A18" s="307"/>
      <c r="B18" s="305"/>
      <c r="C18" s="306"/>
      <c r="D18" s="30" t="s">
        <v>144</v>
      </c>
      <c r="E18" s="31" t="s">
        <v>13</v>
      </c>
      <c r="F18" s="32" t="s">
        <v>14</v>
      </c>
      <c r="G18" s="32" t="s">
        <v>14</v>
      </c>
      <c r="H18" s="32" t="s">
        <v>14</v>
      </c>
      <c r="I18" s="71">
        <f>I25+I31+I46+I51+I56+I60+I64+I69+I74+I77+I81+I86+I92+I95+I98+I102+I104+I107+I110+I114+I118+I135+I89+I34+I37+I122+I127+I132</f>
        <v>860556.6035999999</v>
      </c>
      <c r="J18" s="71">
        <f>J25+J31+J46+J51+J56+J60+J64+J69+J74+J77+J81+J86+J92+J95+J98+J102+J104+J107+J110+J114+J118+J135+J89+J34+J37+J122+J127+J132</f>
        <v>819583.8572300001</v>
      </c>
      <c r="K18" s="71">
        <f>K25+K31+K46+K51+K56+K60+K64+K69+K74+K77+K81+K86+K92+K95+K98+K102+K104+K107+K110+K114+K118+K135+K89+K34+K37+K122+K127+K132</f>
        <v>816774.4309299998</v>
      </c>
      <c r="L18" s="71">
        <f>L25+L31+L46+L51+L56+L60+L64+L69+L74+L77+L81+L86+L92+L95+L98+L102+L104+L107+L110+L114+L118+L135+L89+L34+L37+L122+L127+L132</f>
        <v>2496914.89176</v>
      </c>
    </row>
    <row r="19" spans="1:12" s="29" customFormat="1" ht="25.5" customHeight="1">
      <c r="A19" s="307"/>
      <c r="B19" s="305"/>
      <c r="C19" s="306"/>
      <c r="D19" s="30" t="s">
        <v>12</v>
      </c>
      <c r="E19" s="32">
        <v>162</v>
      </c>
      <c r="F19" s="32" t="s">
        <v>14</v>
      </c>
      <c r="G19" s="32" t="s">
        <v>14</v>
      </c>
      <c r="H19" s="32" t="s">
        <v>14</v>
      </c>
      <c r="I19" s="71">
        <v>0</v>
      </c>
      <c r="J19" s="71">
        <v>0</v>
      </c>
      <c r="K19" s="71">
        <v>0</v>
      </c>
      <c r="L19" s="71">
        <v>0</v>
      </c>
    </row>
    <row r="20" spans="1:12" s="6" customFormat="1" ht="12.75" customHeight="1">
      <c r="A20" s="303">
        <v>3</v>
      </c>
      <c r="B20" s="287" t="s">
        <v>149</v>
      </c>
      <c r="C20" s="314" t="s">
        <v>114</v>
      </c>
      <c r="D20" s="313" t="s">
        <v>144</v>
      </c>
      <c r="E20" s="9" t="s">
        <v>13</v>
      </c>
      <c r="F20" s="7" t="s">
        <v>22</v>
      </c>
      <c r="G20" s="9" t="s">
        <v>150</v>
      </c>
      <c r="H20" s="7">
        <v>611</v>
      </c>
      <c r="I20" s="92">
        <v>81582.51462</v>
      </c>
      <c r="J20" s="92">
        <v>79877.5</v>
      </c>
      <c r="K20" s="92">
        <v>76494.74</v>
      </c>
      <c r="L20" s="78">
        <f>SUM(I20:K20)</f>
        <v>237954.75462000002</v>
      </c>
    </row>
    <row r="21" spans="1:12" s="6" customFormat="1" ht="12.75" customHeight="1">
      <c r="A21" s="303"/>
      <c r="B21" s="287"/>
      <c r="C21" s="314"/>
      <c r="D21" s="313"/>
      <c r="E21" s="9" t="s">
        <v>13</v>
      </c>
      <c r="F21" s="7" t="s">
        <v>22</v>
      </c>
      <c r="G21" s="9" t="s">
        <v>150</v>
      </c>
      <c r="H21" s="7">
        <v>612</v>
      </c>
      <c r="I21" s="92">
        <v>47.5</v>
      </c>
      <c r="J21" s="92">
        <v>0</v>
      </c>
      <c r="K21" s="92">
        <v>0</v>
      </c>
      <c r="L21" s="78">
        <f>SUM(I21:K21)</f>
        <v>47.5</v>
      </c>
    </row>
    <row r="22" spans="1:12" s="6" customFormat="1" ht="12.75" customHeight="1">
      <c r="A22" s="303"/>
      <c r="B22" s="287"/>
      <c r="C22" s="314"/>
      <c r="D22" s="313"/>
      <c r="E22" s="9" t="s">
        <v>13</v>
      </c>
      <c r="F22" s="7" t="s">
        <v>22</v>
      </c>
      <c r="G22" s="9" t="s">
        <v>150</v>
      </c>
      <c r="H22" s="7">
        <v>621</v>
      </c>
      <c r="I22" s="92">
        <v>31314.69635</v>
      </c>
      <c r="J22" s="92">
        <v>30499.56</v>
      </c>
      <c r="K22" s="92">
        <v>29792.28</v>
      </c>
      <c r="L22" s="78">
        <f>SUM(I22:K22)</f>
        <v>91606.53635</v>
      </c>
    </row>
    <row r="23" spans="1:12" s="6" customFormat="1" ht="12.75" customHeight="1">
      <c r="A23" s="303"/>
      <c r="B23" s="287"/>
      <c r="C23" s="314"/>
      <c r="D23" s="313"/>
      <c r="E23" s="9" t="s">
        <v>13</v>
      </c>
      <c r="F23" s="7" t="s">
        <v>22</v>
      </c>
      <c r="G23" s="9" t="s">
        <v>150</v>
      </c>
      <c r="H23" s="7">
        <v>622</v>
      </c>
      <c r="I23" s="92">
        <v>400</v>
      </c>
      <c r="J23" s="92">
        <v>0</v>
      </c>
      <c r="K23" s="92">
        <v>0</v>
      </c>
      <c r="L23" s="78">
        <f>SUM(I23:K23)</f>
        <v>400</v>
      </c>
    </row>
    <row r="24" spans="1:12" s="6" customFormat="1" ht="12.75" customHeight="1">
      <c r="A24" s="303"/>
      <c r="B24" s="287"/>
      <c r="C24" s="314"/>
      <c r="D24" s="313"/>
      <c r="E24" s="9" t="s">
        <v>13</v>
      </c>
      <c r="F24" s="7" t="s">
        <v>22</v>
      </c>
      <c r="G24" s="9" t="s">
        <v>150</v>
      </c>
      <c r="H24" s="7">
        <v>853</v>
      </c>
      <c r="I24" s="92">
        <v>0</v>
      </c>
      <c r="J24" s="92">
        <v>0</v>
      </c>
      <c r="K24" s="92">
        <v>0</v>
      </c>
      <c r="L24" s="78">
        <f>SUM(I24:K24)</f>
        <v>0</v>
      </c>
    </row>
    <row r="25" spans="1:15" s="6" customFormat="1" ht="12.75" customHeight="1">
      <c r="A25" s="303"/>
      <c r="B25" s="287"/>
      <c r="C25" s="314"/>
      <c r="D25" s="313"/>
      <c r="E25" s="289" t="s">
        <v>155</v>
      </c>
      <c r="F25" s="289"/>
      <c r="G25" s="289"/>
      <c r="H25" s="289"/>
      <c r="I25" s="229">
        <f>SUM(I20:I24)</f>
        <v>113344.71097</v>
      </c>
      <c r="J25" s="219">
        <f>SUM(J20:J24)</f>
        <v>110377.06</v>
      </c>
      <c r="K25" s="219">
        <f>SUM(K20:K24)</f>
        <v>106287.02</v>
      </c>
      <c r="L25" s="220">
        <f>SUM(L20:L24)</f>
        <v>330008.79097000003</v>
      </c>
      <c r="M25" s="137">
        <f>I25+I31+I34+I37</f>
        <v>189890.59946</v>
      </c>
      <c r="N25" s="137">
        <f>J25+J31+J34+J37</f>
        <v>180921.8976</v>
      </c>
      <c r="O25" s="137">
        <f>K25+K31+K34+K37</f>
        <v>173594.54384</v>
      </c>
    </row>
    <row r="26" spans="1:12" s="6" customFormat="1" ht="12.75" customHeight="1">
      <c r="A26" s="303"/>
      <c r="B26" s="287"/>
      <c r="C26" s="314"/>
      <c r="D26" s="313"/>
      <c r="E26" s="9" t="s">
        <v>13</v>
      </c>
      <c r="F26" s="7" t="s">
        <v>23</v>
      </c>
      <c r="G26" s="9" t="s">
        <v>150</v>
      </c>
      <c r="H26" s="7">
        <v>611</v>
      </c>
      <c r="I26" s="92">
        <v>53482.41664</v>
      </c>
      <c r="J26" s="92">
        <v>51821.2136</v>
      </c>
      <c r="K26" s="92">
        <v>49290.80884</v>
      </c>
      <c r="L26" s="78">
        <f>SUM(I26:K26)</f>
        <v>154594.43907999998</v>
      </c>
    </row>
    <row r="27" spans="1:12" s="6" customFormat="1" ht="12.75" customHeight="1">
      <c r="A27" s="303"/>
      <c r="B27" s="287"/>
      <c r="C27" s="314"/>
      <c r="D27" s="313"/>
      <c r="E27" s="9" t="s">
        <v>13</v>
      </c>
      <c r="F27" s="7" t="s">
        <v>23</v>
      </c>
      <c r="G27" s="9" t="s">
        <v>150</v>
      </c>
      <c r="H27" s="7">
        <v>612</v>
      </c>
      <c r="I27" s="92">
        <v>390.15725</v>
      </c>
      <c r="J27" s="92">
        <v>0</v>
      </c>
      <c r="K27" s="92">
        <v>0</v>
      </c>
      <c r="L27" s="78">
        <f>SUM(I27:K27)</f>
        <v>390.15725</v>
      </c>
    </row>
    <row r="28" spans="1:12" s="6" customFormat="1" ht="12.75" customHeight="1">
      <c r="A28" s="303"/>
      <c r="B28" s="287"/>
      <c r="C28" s="314"/>
      <c r="D28" s="313"/>
      <c r="E28" s="9" t="s">
        <v>13</v>
      </c>
      <c r="F28" s="7" t="s">
        <v>23</v>
      </c>
      <c r="G28" s="9" t="s">
        <v>150</v>
      </c>
      <c r="H28" s="7">
        <v>621</v>
      </c>
      <c r="I28" s="92">
        <v>19765.31636</v>
      </c>
      <c r="J28" s="92">
        <v>18723.624</v>
      </c>
      <c r="K28" s="92">
        <v>18016.715</v>
      </c>
      <c r="L28" s="78">
        <f>SUM(I28:K28)</f>
        <v>56505.655360000004</v>
      </c>
    </row>
    <row r="29" spans="1:12" s="6" customFormat="1" ht="12.75" customHeight="1">
      <c r="A29" s="303"/>
      <c r="B29" s="287"/>
      <c r="C29" s="314"/>
      <c r="D29" s="313"/>
      <c r="E29" s="9" t="s">
        <v>13</v>
      </c>
      <c r="F29" s="7" t="s">
        <v>23</v>
      </c>
      <c r="G29" s="9" t="s">
        <v>150</v>
      </c>
      <c r="H29" s="7">
        <v>622</v>
      </c>
      <c r="I29" s="92">
        <v>2767.84824</v>
      </c>
      <c r="J29" s="92">
        <v>0</v>
      </c>
      <c r="K29" s="92">
        <v>0</v>
      </c>
      <c r="L29" s="78">
        <f>SUM(I29:K29)</f>
        <v>2767.84824</v>
      </c>
    </row>
    <row r="30" spans="1:12" s="6" customFormat="1" ht="12.75" customHeight="1">
      <c r="A30" s="303"/>
      <c r="B30" s="287"/>
      <c r="C30" s="314"/>
      <c r="D30" s="313"/>
      <c r="E30" s="9" t="s">
        <v>13</v>
      </c>
      <c r="F30" s="7" t="s">
        <v>23</v>
      </c>
      <c r="G30" s="9" t="s">
        <v>150</v>
      </c>
      <c r="H30" s="7">
        <v>853</v>
      </c>
      <c r="I30" s="92">
        <v>0</v>
      </c>
      <c r="J30" s="92">
        <v>0</v>
      </c>
      <c r="K30" s="92">
        <v>0</v>
      </c>
      <c r="L30" s="78">
        <f>SUM(I30:K30)</f>
        <v>0</v>
      </c>
    </row>
    <row r="31" spans="1:12" s="6" customFormat="1" ht="12.75" customHeight="1">
      <c r="A31" s="303"/>
      <c r="B31" s="287"/>
      <c r="C31" s="314"/>
      <c r="D31" s="313"/>
      <c r="E31" s="289" t="s">
        <v>155</v>
      </c>
      <c r="F31" s="289"/>
      <c r="G31" s="289"/>
      <c r="H31" s="289"/>
      <c r="I31" s="229">
        <f>SUM(I26:I30)</f>
        <v>76405.73849</v>
      </c>
      <c r="J31" s="219">
        <f>SUM(J26:J30)</f>
        <v>70544.8376</v>
      </c>
      <c r="K31" s="219">
        <f>SUM(K26:K30)</f>
        <v>67307.52384</v>
      </c>
      <c r="L31" s="220">
        <f>SUM(L26:L30)</f>
        <v>214258.09992999997</v>
      </c>
    </row>
    <row r="32" spans="1:12" s="6" customFormat="1" ht="12.75" customHeight="1">
      <c r="A32" s="303"/>
      <c r="B32" s="287"/>
      <c r="C32" s="314"/>
      <c r="D32" s="313"/>
      <c r="E32" s="9" t="s">
        <v>13</v>
      </c>
      <c r="F32" s="7" t="s">
        <v>325</v>
      </c>
      <c r="G32" s="9" t="s">
        <v>150</v>
      </c>
      <c r="H32" s="7">
        <v>611</v>
      </c>
      <c r="I32" s="92">
        <v>0</v>
      </c>
      <c r="J32" s="92">
        <v>0</v>
      </c>
      <c r="K32" s="92">
        <v>0</v>
      </c>
      <c r="L32" s="78">
        <f>SUM(I32:K32)</f>
        <v>0</v>
      </c>
    </row>
    <row r="33" spans="1:12" s="6" customFormat="1" ht="12.75" customHeight="1">
      <c r="A33" s="303"/>
      <c r="B33" s="287"/>
      <c r="C33" s="314"/>
      <c r="D33" s="313"/>
      <c r="E33" s="9" t="s">
        <v>13</v>
      </c>
      <c r="F33" s="7" t="s">
        <v>325</v>
      </c>
      <c r="G33" s="9" t="s">
        <v>150</v>
      </c>
      <c r="H33" s="7">
        <v>621</v>
      </c>
      <c r="I33" s="92">
        <v>32.4</v>
      </c>
      <c r="J33" s="92">
        <v>0</v>
      </c>
      <c r="K33" s="92">
        <v>0</v>
      </c>
      <c r="L33" s="78">
        <f>SUM(I33:K33)</f>
        <v>32.4</v>
      </c>
    </row>
    <row r="34" spans="1:12" s="6" customFormat="1" ht="12.75" customHeight="1">
      <c r="A34" s="303"/>
      <c r="B34" s="287"/>
      <c r="C34" s="314"/>
      <c r="D34" s="313"/>
      <c r="E34" s="289" t="s">
        <v>155</v>
      </c>
      <c r="F34" s="289"/>
      <c r="G34" s="289"/>
      <c r="H34" s="289"/>
      <c r="I34" s="229">
        <f>SUM(I32:I33)</f>
        <v>32.4</v>
      </c>
      <c r="J34" s="219">
        <f>SUM(J32:J33)</f>
        <v>0</v>
      </c>
      <c r="K34" s="219">
        <f>SUM(K32:K33)</f>
        <v>0</v>
      </c>
      <c r="L34" s="219">
        <f>SUM(L32:L33)</f>
        <v>32.4</v>
      </c>
    </row>
    <row r="35" spans="1:12" s="6" customFormat="1" ht="12.75" customHeight="1">
      <c r="A35" s="303"/>
      <c r="B35" s="287"/>
      <c r="C35" s="314"/>
      <c r="D35" s="313"/>
      <c r="E35" s="9" t="s">
        <v>13</v>
      </c>
      <c r="F35" s="7" t="s">
        <v>20</v>
      </c>
      <c r="G35" s="9" t="s">
        <v>150</v>
      </c>
      <c r="H35" s="7">
        <v>611</v>
      </c>
      <c r="I35" s="92">
        <v>80.5</v>
      </c>
      <c r="J35" s="92">
        <v>0</v>
      </c>
      <c r="K35" s="92">
        <v>0</v>
      </c>
      <c r="L35" s="78">
        <f>SUM(I35:K35)</f>
        <v>80.5</v>
      </c>
    </row>
    <row r="36" spans="1:12" s="6" customFormat="1" ht="12.75" customHeight="1">
      <c r="A36" s="303"/>
      <c r="B36" s="287"/>
      <c r="C36" s="314"/>
      <c r="D36" s="313"/>
      <c r="E36" s="9" t="s">
        <v>13</v>
      </c>
      <c r="F36" s="7" t="s">
        <v>20</v>
      </c>
      <c r="G36" s="9" t="s">
        <v>150</v>
      </c>
      <c r="H36" s="7">
        <v>621</v>
      </c>
      <c r="I36" s="92">
        <v>27.25</v>
      </c>
      <c r="J36" s="92">
        <v>0</v>
      </c>
      <c r="K36" s="92">
        <v>0</v>
      </c>
      <c r="L36" s="78">
        <f>SUM(I36:K36)</f>
        <v>27.25</v>
      </c>
    </row>
    <row r="37" spans="1:13" s="6" customFormat="1" ht="12.75" customHeight="1">
      <c r="A37" s="303"/>
      <c r="B37" s="287"/>
      <c r="C37" s="314"/>
      <c r="D37" s="313"/>
      <c r="E37" s="289" t="s">
        <v>155</v>
      </c>
      <c r="F37" s="289"/>
      <c r="G37" s="289"/>
      <c r="H37" s="289"/>
      <c r="I37" s="229">
        <f>SUM(I35:I36)</f>
        <v>107.75</v>
      </c>
      <c r="J37" s="219">
        <f>SUM(J35:J36)</f>
        <v>0</v>
      </c>
      <c r="K37" s="219">
        <f>SUM(K35:K36)</f>
        <v>0</v>
      </c>
      <c r="L37" s="219">
        <f>SUM(L35:L36)</f>
        <v>107.75</v>
      </c>
      <c r="M37" s="137"/>
    </row>
    <row r="38" spans="1:12" s="6" customFormat="1" ht="15" customHeight="1">
      <c r="A38" s="303"/>
      <c r="B38" s="287"/>
      <c r="C38" s="314"/>
      <c r="D38" s="313"/>
      <c r="E38" s="9" t="s">
        <v>13</v>
      </c>
      <c r="F38" s="7" t="s">
        <v>22</v>
      </c>
      <c r="G38" s="9" t="s">
        <v>260</v>
      </c>
      <c r="H38" s="7" t="s">
        <v>162</v>
      </c>
      <c r="I38" s="92">
        <v>29527.3</v>
      </c>
      <c r="J38" s="92">
        <v>27387.3</v>
      </c>
      <c r="K38" s="92">
        <v>27387.3</v>
      </c>
      <c r="L38" s="78">
        <f aca="true" t="shared" si="1" ref="L38:L45">SUM(I38:K38)</f>
        <v>84301.9</v>
      </c>
    </row>
    <row r="39" spans="1:12" s="6" customFormat="1" ht="15" customHeight="1">
      <c r="A39" s="303"/>
      <c r="B39" s="287"/>
      <c r="C39" s="314"/>
      <c r="D39" s="313"/>
      <c r="E39" s="9" t="s">
        <v>13</v>
      </c>
      <c r="F39" s="7" t="s">
        <v>22</v>
      </c>
      <c r="G39" s="9" t="s">
        <v>260</v>
      </c>
      <c r="H39" s="7" t="s">
        <v>162</v>
      </c>
      <c r="I39" s="92">
        <v>2972.9154</v>
      </c>
      <c r="J39" s="92">
        <v>2800.92</v>
      </c>
      <c r="K39" s="92">
        <v>2800.92</v>
      </c>
      <c r="L39" s="78">
        <f t="shared" si="1"/>
        <v>8574.7554</v>
      </c>
    </row>
    <row r="40" spans="1:12" s="6" customFormat="1" ht="15" customHeight="1">
      <c r="A40" s="303"/>
      <c r="B40" s="287"/>
      <c r="C40" s="314"/>
      <c r="D40" s="313"/>
      <c r="E40" s="9" t="s">
        <v>13</v>
      </c>
      <c r="F40" s="7" t="s">
        <v>22</v>
      </c>
      <c r="G40" s="9" t="s">
        <v>260</v>
      </c>
      <c r="H40" s="7" t="s">
        <v>162</v>
      </c>
      <c r="I40" s="92">
        <v>0</v>
      </c>
      <c r="J40" s="92">
        <v>0</v>
      </c>
      <c r="K40" s="92">
        <v>0</v>
      </c>
      <c r="L40" s="78">
        <f t="shared" si="1"/>
        <v>0</v>
      </c>
    </row>
    <row r="41" spans="1:12" s="6" customFormat="1" ht="15" customHeight="1">
      <c r="A41" s="303"/>
      <c r="B41" s="287"/>
      <c r="C41" s="314"/>
      <c r="D41" s="313"/>
      <c r="E41" s="9" t="s">
        <v>13</v>
      </c>
      <c r="F41" s="7" t="s">
        <v>23</v>
      </c>
      <c r="G41" s="9" t="s">
        <v>260</v>
      </c>
      <c r="H41" s="7" t="s">
        <v>162</v>
      </c>
      <c r="I41" s="92">
        <v>4854.18003</v>
      </c>
      <c r="J41" s="92">
        <v>3196.65</v>
      </c>
      <c r="K41" s="92">
        <v>3196.65</v>
      </c>
      <c r="L41" s="78">
        <f t="shared" si="1"/>
        <v>11247.48003</v>
      </c>
    </row>
    <row r="42" spans="1:12" s="6" customFormat="1" ht="15" customHeight="1">
      <c r="A42" s="303"/>
      <c r="B42" s="287"/>
      <c r="C42" s="314"/>
      <c r="D42" s="313"/>
      <c r="E42" s="9" t="s">
        <v>13</v>
      </c>
      <c r="F42" s="7" t="s">
        <v>23</v>
      </c>
      <c r="G42" s="9" t="s">
        <v>260</v>
      </c>
      <c r="H42" s="7" t="s">
        <v>162</v>
      </c>
      <c r="I42" s="92">
        <f>10.215+44.46816</f>
        <v>54.68316</v>
      </c>
      <c r="J42" s="92">
        <v>0</v>
      </c>
      <c r="K42" s="92">
        <v>0</v>
      </c>
      <c r="L42" s="78">
        <f t="shared" si="1"/>
        <v>54.68316</v>
      </c>
    </row>
    <row r="43" spans="1:12" s="6" customFormat="1" ht="15" customHeight="1">
      <c r="A43" s="303"/>
      <c r="B43" s="287"/>
      <c r="C43" s="314"/>
      <c r="D43" s="313"/>
      <c r="E43" s="9" t="s">
        <v>13</v>
      </c>
      <c r="F43" s="7" t="s">
        <v>23</v>
      </c>
      <c r="G43" s="9" t="s">
        <v>260</v>
      </c>
      <c r="H43" s="7" t="s">
        <v>162</v>
      </c>
      <c r="I43" s="92">
        <v>1631.09477</v>
      </c>
      <c r="J43" s="92">
        <v>0</v>
      </c>
      <c r="K43" s="92">
        <v>0</v>
      </c>
      <c r="L43" s="78">
        <f>SUM(I43:K43)</f>
        <v>1631.09477</v>
      </c>
    </row>
    <row r="44" spans="1:12" s="6" customFormat="1" ht="15" customHeight="1">
      <c r="A44" s="303"/>
      <c r="B44" s="287"/>
      <c r="C44" s="314"/>
      <c r="D44" s="313"/>
      <c r="E44" s="9" t="s">
        <v>13</v>
      </c>
      <c r="F44" s="7" t="s">
        <v>23</v>
      </c>
      <c r="G44" s="9" t="s">
        <v>260</v>
      </c>
      <c r="H44" s="7" t="s">
        <v>162</v>
      </c>
      <c r="I44" s="92">
        <f>197.5792+530.6511</f>
        <v>728.2303</v>
      </c>
      <c r="J44" s="92">
        <v>0</v>
      </c>
      <c r="K44" s="92">
        <v>0</v>
      </c>
      <c r="L44" s="78">
        <f>SUM(I44:K44)</f>
        <v>728.2303</v>
      </c>
    </row>
    <row r="45" spans="1:12" s="6" customFormat="1" ht="15" customHeight="1">
      <c r="A45" s="303"/>
      <c r="B45" s="287"/>
      <c r="C45" s="314"/>
      <c r="D45" s="313"/>
      <c r="E45" s="9" t="s">
        <v>13</v>
      </c>
      <c r="F45" s="7" t="s">
        <v>325</v>
      </c>
      <c r="G45" s="9" t="s">
        <v>260</v>
      </c>
      <c r="H45" s="7" t="s">
        <v>162</v>
      </c>
      <c r="I45" s="92">
        <v>11.5</v>
      </c>
      <c r="J45" s="92">
        <v>0</v>
      </c>
      <c r="K45" s="92">
        <v>0</v>
      </c>
      <c r="L45" s="78">
        <f t="shared" si="1"/>
        <v>11.5</v>
      </c>
    </row>
    <row r="46" spans="1:12" s="6" customFormat="1" ht="15" customHeight="1">
      <c r="A46" s="303"/>
      <c r="B46" s="287"/>
      <c r="C46" s="314"/>
      <c r="D46" s="313"/>
      <c r="E46" s="289" t="s">
        <v>155</v>
      </c>
      <c r="F46" s="289"/>
      <c r="G46" s="289"/>
      <c r="H46" s="289"/>
      <c r="I46" s="229">
        <f>SUM(I38:I45)</f>
        <v>39779.90366000001</v>
      </c>
      <c r="J46" s="171">
        <f>SUM(J38:J45)</f>
        <v>33384.87</v>
      </c>
      <c r="K46" s="171">
        <f>SUM(K38:K45)</f>
        <v>33384.87</v>
      </c>
      <c r="L46" s="171">
        <f>SUM(L38:L45)</f>
        <v>106549.64365999999</v>
      </c>
    </row>
    <row r="47" spans="1:12" s="6" customFormat="1" ht="16.5" customHeight="1">
      <c r="A47" s="303">
        <v>4</v>
      </c>
      <c r="B47" s="287" t="s">
        <v>151</v>
      </c>
      <c r="C47" s="311" t="s">
        <v>224</v>
      </c>
      <c r="D47" s="321" t="s">
        <v>144</v>
      </c>
      <c r="E47" s="9" t="s">
        <v>13</v>
      </c>
      <c r="F47" s="7" t="s">
        <v>22</v>
      </c>
      <c r="G47" s="9" t="s">
        <v>156</v>
      </c>
      <c r="H47" s="7">
        <v>611</v>
      </c>
      <c r="I47" s="93">
        <v>59171.1</v>
      </c>
      <c r="J47" s="93">
        <v>58176.1</v>
      </c>
      <c r="K47" s="93">
        <v>58176.1</v>
      </c>
      <c r="L47" s="78">
        <f>SUM(I47:K47)</f>
        <v>175523.3</v>
      </c>
    </row>
    <row r="48" spans="1:12" s="6" customFormat="1" ht="16.5" customHeight="1">
      <c r="A48" s="303"/>
      <c r="B48" s="287"/>
      <c r="C48" s="311"/>
      <c r="D48" s="321"/>
      <c r="E48" s="9" t="s">
        <v>13</v>
      </c>
      <c r="F48" s="7" t="s">
        <v>22</v>
      </c>
      <c r="G48" s="9" t="s">
        <v>156</v>
      </c>
      <c r="H48" s="7">
        <v>612</v>
      </c>
      <c r="I48" s="93">
        <v>0</v>
      </c>
      <c r="J48" s="93">
        <v>0</v>
      </c>
      <c r="K48" s="93">
        <v>0</v>
      </c>
      <c r="L48" s="78">
        <f>SUM(I48:K48)</f>
        <v>0</v>
      </c>
    </row>
    <row r="49" spans="1:12" s="6" customFormat="1" ht="22.5" customHeight="1">
      <c r="A49" s="303"/>
      <c r="B49" s="287"/>
      <c r="C49" s="311"/>
      <c r="D49" s="321"/>
      <c r="E49" s="9" t="s">
        <v>13</v>
      </c>
      <c r="F49" s="7" t="s">
        <v>22</v>
      </c>
      <c r="G49" s="9" t="s">
        <v>156</v>
      </c>
      <c r="H49" s="7">
        <v>621</v>
      </c>
      <c r="I49" s="93">
        <v>20297.22</v>
      </c>
      <c r="J49" s="93">
        <v>18745.4</v>
      </c>
      <c r="K49" s="93">
        <v>18745.4</v>
      </c>
      <c r="L49" s="78">
        <f>SUM(I49:K49)</f>
        <v>57788.020000000004</v>
      </c>
    </row>
    <row r="50" spans="1:12" s="6" customFormat="1" ht="22.5" customHeight="1">
      <c r="A50" s="303"/>
      <c r="B50" s="287"/>
      <c r="C50" s="311"/>
      <c r="D50" s="321"/>
      <c r="E50" s="9" t="s">
        <v>13</v>
      </c>
      <c r="F50" s="7" t="s">
        <v>22</v>
      </c>
      <c r="G50" s="9" t="s">
        <v>156</v>
      </c>
      <c r="H50" s="7">
        <v>622</v>
      </c>
      <c r="I50" s="93">
        <v>0</v>
      </c>
      <c r="J50" s="93">
        <v>0</v>
      </c>
      <c r="K50" s="93">
        <v>0</v>
      </c>
      <c r="L50" s="78">
        <f>SUM(I50:K50)</f>
        <v>0</v>
      </c>
    </row>
    <row r="51" spans="1:12" s="6" customFormat="1" ht="16.5" customHeight="1">
      <c r="A51" s="303"/>
      <c r="B51" s="287"/>
      <c r="C51" s="311"/>
      <c r="D51" s="321"/>
      <c r="E51" s="289" t="s">
        <v>155</v>
      </c>
      <c r="F51" s="289"/>
      <c r="G51" s="289"/>
      <c r="H51" s="289"/>
      <c r="I51" s="229">
        <f>SUM(I47:I50)</f>
        <v>79468.32</v>
      </c>
      <c r="J51" s="219">
        <f>SUM(J47:J50)</f>
        <v>76921.5</v>
      </c>
      <c r="K51" s="219">
        <f>SUM(K47:K50)</f>
        <v>76921.5</v>
      </c>
      <c r="L51" s="220">
        <f>SUM(L47:L50)</f>
        <v>233311.32</v>
      </c>
    </row>
    <row r="52" spans="1:12" s="6" customFormat="1" ht="18.75" customHeight="1">
      <c r="A52" s="303">
        <v>5</v>
      </c>
      <c r="B52" s="287" t="s">
        <v>154</v>
      </c>
      <c r="C52" s="311" t="s">
        <v>175</v>
      </c>
      <c r="D52" s="321" t="s">
        <v>144</v>
      </c>
      <c r="E52" s="9" t="s">
        <v>13</v>
      </c>
      <c r="F52" s="7" t="s">
        <v>23</v>
      </c>
      <c r="G52" s="9" t="s">
        <v>157</v>
      </c>
      <c r="H52" s="11">
        <v>611</v>
      </c>
      <c r="I52" s="140">
        <v>30106.21</v>
      </c>
      <c r="J52" s="140">
        <v>29489.8</v>
      </c>
      <c r="K52" s="140">
        <v>29489.8</v>
      </c>
      <c r="L52" s="78">
        <f>SUM(I52:K52)</f>
        <v>89085.81</v>
      </c>
    </row>
    <row r="53" spans="1:12" s="6" customFormat="1" ht="18.75" customHeight="1">
      <c r="A53" s="303"/>
      <c r="B53" s="287"/>
      <c r="C53" s="311"/>
      <c r="D53" s="321"/>
      <c r="E53" s="9" t="s">
        <v>13</v>
      </c>
      <c r="F53" s="7" t="s">
        <v>23</v>
      </c>
      <c r="G53" s="9" t="s">
        <v>157</v>
      </c>
      <c r="H53" s="11">
        <v>612</v>
      </c>
      <c r="I53" s="140">
        <v>0</v>
      </c>
      <c r="J53" s="140">
        <v>0</v>
      </c>
      <c r="K53" s="140">
        <v>0</v>
      </c>
      <c r="L53" s="78">
        <f>SUM(I53:K53)</f>
        <v>0</v>
      </c>
    </row>
    <row r="54" spans="1:12" s="6" customFormat="1" ht="18.75" customHeight="1">
      <c r="A54" s="303"/>
      <c r="B54" s="287"/>
      <c r="C54" s="311"/>
      <c r="D54" s="321"/>
      <c r="E54" s="9" t="s">
        <v>13</v>
      </c>
      <c r="F54" s="7" t="s">
        <v>23</v>
      </c>
      <c r="G54" s="9" t="s">
        <v>157</v>
      </c>
      <c r="H54" s="11">
        <v>621</v>
      </c>
      <c r="I54" s="140">
        <v>14685.5</v>
      </c>
      <c r="J54" s="140">
        <v>14565.5</v>
      </c>
      <c r="K54" s="140">
        <v>14565.5</v>
      </c>
      <c r="L54" s="78">
        <f>SUM(I54:K54)</f>
        <v>43816.5</v>
      </c>
    </row>
    <row r="55" spans="1:12" s="6" customFormat="1" ht="18.75" customHeight="1">
      <c r="A55" s="303"/>
      <c r="B55" s="287"/>
      <c r="C55" s="311"/>
      <c r="D55" s="321"/>
      <c r="E55" s="9" t="s">
        <v>13</v>
      </c>
      <c r="F55" s="7" t="s">
        <v>23</v>
      </c>
      <c r="G55" s="9" t="s">
        <v>157</v>
      </c>
      <c r="H55" s="11">
        <v>622</v>
      </c>
      <c r="I55" s="140">
        <v>0</v>
      </c>
      <c r="J55" s="140">
        <v>0</v>
      </c>
      <c r="K55" s="140">
        <v>0</v>
      </c>
      <c r="L55" s="78">
        <f>SUM(I55:K55)</f>
        <v>0</v>
      </c>
    </row>
    <row r="56" spans="1:12" s="6" customFormat="1" ht="15" customHeight="1">
      <c r="A56" s="303"/>
      <c r="B56" s="287"/>
      <c r="C56" s="311"/>
      <c r="D56" s="321"/>
      <c r="E56" s="289" t="s">
        <v>155</v>
      </c>
      <c r="F56" s="289"/>
      <c r="G56" s="289"/>
      <c r="H56" s="289"/>
      <c r="I56" s="229">
        <f>SUM(I52:I55)</f>
        <v>44791.71</v>
      </c>
      <c r="J56" s="219">
        <f>SUM(J52:J55)</f>
        <v>44055.3</v>
      </c>
      <c r="K56" s="219">
        <f>SUM(K52:K55)</f>
        <v>44055.3</v>
      </c>
      <c r="L56" s="219">
        <f>SUM(L52:L55)</f>
        <v>132902.31</v>
      </c>
    </row>
    <row r="57" spans="1:12" s="6" customFormat="1" ht="12.75" customHeight="1">
      <c r="A57" s="303">
        <v>6</v>
      </c>
      <c r="B57" s="287" t="s">
        <v>158</v>
      </c>
      <c r="C57" s="302" t="s">
        <v>176</v>
      </c>
      <c r="D57" s="288" t="s">
        <v>144</v>
      </c>
      <c r="E57" s="9" t="s">
        <v>13</v>
      </c>
      <c r="F57" s="7" t="s">
        <v>22</v>
      </c>
      <c r="G57" s="9" t="s">
        <v>152</v>
      </c>
      <c r="H57" s="7">
        <v>244</v>
      </c>
      <c r="I57" s="94"/>
      <c r="J57" s="94"/>
      <c r="K57" s="94"/>
      <c r="L57" s="78">
        <f>SUM(I57:K57)</f>
        <v>0</v>
      </c>
    </row>
    <row r="58" spans="1:12" s="6" customFormat="1" ht="36.75" customHeight="1">
      <c r="A58" s="303"/>
      <c r="B58" s="287"/>
      <c r="C58" s="302"/>
      <c r="D58" s="288"/>
      <c r="E58" s="12" t="s">
        <v>13</v>
      </c>
      <c r="F58" s="11" t="s">
        <v>22</v>
      </c>
      <c r="G58" s="12" t="s">
        <v>152</v>
      </c>
      <c r="H58" s="11">
        <v>611</v>
      </c>
      <c r="I58" s="96">
        <v>1815.8</v>
      </c>
      <c r="J58" s="96">
        <v>1815.8</v>
      </c>
      <c r="K58" s="96">
        <v>1815.8</v>
      </c>
      <c r="L58" s="141">
        <f>SUM(I58:K58)</f>
        <v>5447.4</v>
      </c>
    </row>
    <row r="59" spans="1:12" s="6" customFormat="1" ht="35.25" customHeight="1">
      <c r="A59" s="303"/>
      <c r="B59" s="287"/>
      <c r="C59" s="302"/>
      <c r="D59" s="288"/>
      <c r="E59" s="12" t="s">
        <v>13</v>
      </c>
      <c r="F59" s="11" t="s">
        <v>22</v>
      </c>
      <c r="G59" s="12" t="s">
        <v>152</v>
      </c>
      <c r="H59" s="11">
        <v>621</v>
      </c>
      <c r="I59" s="96">
        <v>280.8</v>
      </c>
      <c r="J59" s="96">
        <v>280.8</v>
      </c>
      <c r="K59" s="96">
        <v>280.8</v>
      </c>
      <c r="L59" s="141">
        <f>SUM(I59:K59)</f>
        <v>842.4000000000001</v>
      </c>
    </row>
    <row r="60" spans="1:12" s="6" customFormat="1" ht="18.75" customHeight="1">
      <c r="A60" s="303"/>
      <c r="B60" s="287"/>
      <c r="C60" s="302"/>
      <c r="D60" s="288"/>
      <c r="E60" s="289" t="s">
        <v>155</v>
      </c>
      <c r="F60" s="289"/>
      <c r="G60" s="289"/>
      <c r="H60" s="289"/>
      <c r="I60" s="231">
        <f>SUM(I57:I59)</f>
        <v>2096.6</v>
      </c>
      <c r="J60" s="221">
        <f>SUM(J57:J59)</f>
        <v>2096.6</v>
      </c>
      <c r="K60" s="221">
        <f>SUM(K57:K59)</f>
        <v>2096.6</v>
      </c>
      <c r="L60" s="222">
        <f>SUM(L57:L59)</f>
        <v>6289.799999999999</v>
      </c>
    </row>
    <row r="61" spans="1:12" s="6" customFormat="1" ht="18" customHeight="1">
      <c r="A61" s="303">
        <v>7</v>
      </c>
      <c r="B61" s="287" t="s">
        <v>163</v>
      </c>
      <c r="C61" s="302" t="s">
        <v>159</v>
      </c>
      <c r="D61" s="288" t="s">
        <v>144</v>
      </c>
      <c r="E61" s="9" t="s">
        <v>13</v>
      </c>
      <c r="F61" s="7" t="s">
        <v>160</v>
      </c>
      <c r="G61" s="9" t="s">
        <v>161</v>
      </c>
      <c r="H61" s="7">
        <v>611</v>
      </c>
      <c r="I61" s="94">
        <v>149161.29</v>
      </c>
      <c r="J61" s="94">
        <v>149046.3</v>
      </c>
      <c r="K61" s="94">
        <v>149046.3</v>
      </c>
      <c r="L61" s="78">
        <f aca="true" t="shared" si="2" ref="L61:L68">SUM(I61:K61)</f>
        <v>447253.88999999996</v>
      </c>
    </row>
    <row r="62" spans="1:12" s="6" customFormat="1" ht="18" customHeight="1">
      <c r="A62" s="303"/>
      <c r="B62" s="287"/>
      <c r="C62" s="302"/>
      <c r="D62" s="288"/>
      <c r="E62" s="9" t="s">
        <v>13</v>
      </c>
      <c r="F62" s="7" t="s">
        <v>160</v>
      </c>
      <c r="G62" s="9" t="s">
        <v>161</v>
      </c>
      <c r="H62" s="7">
        <v>621</v>
      </c>
      <c r="I62" s="94">
        <v>68550.4</v>
      </c>
      <c r="J62" s="94">
        <v>68090.7</v>
      </c>
      <c r="K62" s="94">
        <v>68090.7</v>
      </c>
      <c r="L62" s="78">
        <f t="shared" si="2"/>
        <v>204731.8</v>
      </c>
    </row>
    <row r="63" spans="1:12" s="6" customFormat="1" ht="18" customHeight="1">
      <c r="A63" s="303"/>
      <c r="B63" s="287"/>
      <c r="C63" s="302"/>
      <c r="D63" s="288"/>
      <c r="E63" s="9" t="s">
        <v>13</v>
      </c>
      <c r="F63" s="7" t="s">
        <v>160</v>
      </c>
      <c r="G63" s="9" t="s">
        <v>161</v>
      </c>
      <c r="H63" s="7">
        <v>622</v>
      </c>
      <c r="I63" s="94">
        <v>0</v>
      </c>
      <c r="J63" s="94">
        <v>0</v>
      </c>
      <c r="K63" s="94">
        <v>0</v>
      </c>
      <c r="L63" s="78">
        <f t="shared" si="2"/>
        <v>0</v>
      </c>
    </row>
    <row r="64" spans="1:12" s="6" customFormat="1" ht="18" customHeight="1">
      <c r="A64" s="303"/>
      <c r="B64" s="287"/>
      <c r="C64" s="302"/>
      <c r="D64" s="288"/>
      <c r="E64" s="289" t="s">
        <v>155</v>
      </c>
      <c r="F64" s="289"/>
      <c r="G64" s="289"/>
      <c r="H64" s="289"/>
      <c r="I64" s="229">
        <f>I61+I62+I63</f>
        <v>217711.69</v>
      </c>
      <c r="J64" s="219">
        <f>J61+J62+J63</f>
        <v>217137</v>
      </c>
      <c r="K64" s="219">
        <f>K61+K62+K63</f>
        <v>217137</v>
      </c>
      <c r="L64" s="219">
        <f>L61+L62+L63</f>
        <v>651985.69</v>
      </c>
    </row>
    <row r="65" spans="1:12" s="6" customFormat="1" ht="18" customHeight="1">
      <c r="A65" s="303"/>
      <c r="B65" s="287"/>
      <c r="C65" s="302"/>
      <c r="D65" s="288"/>
      <c r="E65" s="9" t="s">
        <v>13</v>
      </c>
      <c r="F65" s="7" t="s">
        <v>237</v>
      </c>
      <c r="G65" s="9" t="s">
        <v>161</v>
      </c>
      <c r="H65" s="7">
        <v>611</v>
      </c>
      <c r="I65" s="94">
        <v>13082.1</v>
      </c>
      <c r="J65" s="94">
        <v>12795.6</v>
      </c>
      <c r="K65" s="94">
        <v>12795.6</v>
      </c>
      <c r="L65" s="78">
        <f t="shared" si="2"/>
        <v>38673.3</v>
      </c>
    </row>
    <row r="66" spans="1:12" s="6" customFormat="1" ht="18" customHeight="1">
      <c r="A66" s="303"/>
      <c r="B66" s="287"/>
      <c r="C66" s="302"/>
      <c r="D66" s="288"/>
      <c r="E66" s="9" t="s">
        <v>13</v>
      </c>
      <c r="F66" s="7" t="s">
        <v>237</v>
      </c>
      <c r="G66" s="9" t="s">
        <v>161</v>
      </c>
      <c r="H66" s="7">
        <v>612</v>
      </c>
      <c r="I66" s="94">
        <v>0</v>
      </c>
      <c r="J66" s="94">
        <v>0</v>
      </c>
      <c r="K66" s="94">
        <v>0</v>
      </c>
      <c r="L66" s="78">
        <f t="shared" si="2"/>
        <v>0</v>
      </c>
    </row>
    <row r="67" spans="1:12" s="6" customFormat="1" ht="18" customHeight="1">
      <c r="A67" s="303"/>
      <c r="B67" s="287"/>
      <c r="C67" s="302"/>
      <c r="D67" s="288"/>
      <c r="E67" s="9" t="s">
        <v>13</v>
      </c>
      <c r="F67" s="7" t="s">
        <v>237</v>
      </c>
      <c r="G67" s="9" t="s">
        <v>161</v>
      </c>
      <c r="H67" s="7">
        <v>621</v>
      </c>
      <c r="I67" s="94">
        <v>3962.8</v>
      </c>
      <c r="J67" s="94">
        <v>3962.8</v>
      </c>
      <c r="K67" s="94">
        <v>3962.8</v>
      </c>
      <c r="L67" s="78">
        <f t="shared" si="2"/>
        <v>11888.400000000001</v>
      </c>
    </row>
    <row r="68" spans="1:12" s="6" customFormat="1" ht="18" customHeight="1">
      <c r="A68" s="303"/>
      <c r="B68" s="287"/>
      <c r="C68" s="302"/>
      <c r="D68" s="288"/>
      <c r="E68" s="9" t="s">
        <v>13</v>
      </c>
      <c r="F68" s="7" t="s">
        <v>237</v>
      </c>
      <c r="G68" s="9" t="s">
        <v>161</v>
      </c>
      <c r="H68" s="7">
        <v>622</v>
      </c>
      <c r="I68" s="94">
        <v>0</v>
      </c>
      <c r="J68" s="94">
        <v>0</v>
      </c>
      <c r="K68" s="94">
        <v>0</v>
      </c>
      <c r="L68" s="78">
        <f t="shared" si="2"/>
        <v>0</v>
      </c>
    </row>
    <row r="69" spans="1:12" s="6" customFormat="1" ht="13.5" customHeight="1">
      <c r="A69" s="303"/>
      <c r="B69" s="287"/>
      <c r="C69" s="302"/>
      <c r="D69" s="288"/>
      <c r="E69" s="289" t="s">
        <v>155</v>
      </c>
      <c r="F69" s="289"/>
      <c r="G69" s="289"/>
      <c r="H69" s="289"/>
      <c r="I69" s="229">
        <f>I65+I67+I68+I66</f>
        <v>17044.9</v>
      </c>
      <c r="J69" s="219">
        <f>J65+J67+J68+J66</f>
        <v>16758.4</v>
      </c>
      <c r="K69" s="219">
        <f>K65+K67+K68+K66</f>
        <v>16758.4</v>
      </c>
      <c r="L69" s="219">
        <f>L65+L67+L68+L66</f>
        <v>50561.700000000004</v>
      </c>
    </row>
    <row r="70" spans="1:12" s="6" customFormat="1" ht="15.75" customHeight="1">
      <c r="A70" s="303">
        <v>8</v>
      </c>
      <c r="B70" s="287" t="s">
        <v>164</v>
      </c>
      <c r="C70" s="311" t="s">
        <v>177</v>
      </c>
      <c r="D70" s="288" t="s">
        <v>144</v>
      </c>
      <c r="E70" s="9" t="s">
        <v>13</v>
      </c>
      <c r="F70" s="7" t="s">
        <v>22</v>
      </c>
      <c r="G70" s="9" t="s">
        <v>153</v>
      </c>
      <c r="H70" s="7">
        <v>611</v>
      </c>
      <c r="I70" s="92">
        <v>120471.057</v>
      </c>
      <c r="J70" s="92">
        <v>113716.8</v>
      </c>
      <c r="K70" s="92">
        <v>113716.8</v>
      </c>
      <c r="L70" s="78">
        <f>SUM(I70:K70)</f>
        <v>347904.657</v>
      </c>
    </row>
    <row r="71" spans="1:12" s="6" customFormat="1" ht="15.75" customHeight="1">
      <c r="A71" s="303"/>
      <c r="B71" s="287"/>
      <c r="C71" s="311"/>
      <c r="D71" s="288"/>
      <c r="E71" s="9" t="s">
        <v>13</v>
      </c>
      <c r="F71" s="7" t="s">
        <v>22</v>
      </c>
      <c r="G71" s="9" t="s">
        <v>153</v>
      </c>
      <c r="H71" s="7">
        <v>612</v>
      </c>
      <c r="I71" s="92">
        <v>0</v>
      </c>
      <c r="J71" s="92">
        <v>0</v>
      </c>
      <c r="K71" s="92">
        <v>0</v>
      </c>
      <c r="L71" s="78">
        <f>SUM(I71:K71)</f>
        <v>0</v>
      </c>
    </row>
    <row r="72" spans="1:12" s="6" customFormat="1" ht="15.75" customHeight="1">
      <c r="A72" s="303"/>
      <c r="B72" s="287"/>
      <c r="C72" s="311"/>
      <c r="D72" s="288"/>
      <c r="E72" s="9" t="s">
        <v>13</v>
      </c>
      <c r="F72" s="7" t="s">
        <v>22</v>
      </c>
      <c r="G72" s="9" t="s">
        <v>153</v>
      </c>
      <c r="H72" s="7">
        <v>621</v>
      </c>
      <c r="I72" s="92">
        <v>46748.223</v>
      </c>
      <c r="J72" s="92">
        <v>42507.1</v>
      </c>
      <c r="K72" s="92">
        <v>42507.1</v>
      </c>
      <c r="L72" s="78">
        <f>SUM(I72:K72)</f>
        <v>131762.423</v>
      </c>
    </row>
    <row r="73" spans="1:12" s="6" customFormat="1" ht="15.75" customHeight="1">
      <c r="A73" s="303"/>
      <c r="B73" s="287"/>
      <c r="C73" s="311"/>
      <c r="D73" s="288"/>
      <c r="E73" s="9" t="s">
        <v>13</v>
      </c>
      <c r="F73" s="7" t="s">
        <v>22</v>
      </c>
      <c r="G73" s="9" t="s">
        <v>153</v>
      </c>
      <c r="H73" s="7">
        <v>622</v>
      </c>
      <c r="I73" s="70">
        <v>0</v>
      </c>
      <c r="J73" s="70">
        <v>0</v>
      </c>
      <c r="K73" s="70">
        <v>0</v>
      </c>
      <c r="L73" s="78">
        <f>SUM(I73:K73)</f>
        <v>0</v>
      </c>
    </row>
    <row r="74" spans="1:12" s="6" customFormat="1" ht="15.75" customHeight="1">
      <c r="A74" s="303"/>
      <c r="B74" s="287"/>
      <c r="C74" s="311"/>
      <c r="D74" s="288"/>
      <c r="E74" s="289" t="s">
        <v>155</v>
      </c>
      <c r="F74" s="289"/>
      <c r="G74" s="289"/>
      <c r="H74" s="289"/>
      <c r="I74" s="229">
        <f>SUM(I70:I73)</f>
        <v>167219.28</v>
      </c>
      <c r="J74" s="219">
        <f>SUM(J70:J73)</f>
        <v>156223.9</v>
      </c>
      <c r="K74" s="219">
        <f>SUM(K70:K73)</f>
        <v>156223.9</v>
      </c>
      <c r="L74" s="220">
        <f>SUM(L70:L73)</f>
        <v>479667.08</v>
      </c>
    </row>
    <row r="75" spans="1:12" s="6" customFormat="1" ht="19.5" customHeight="1">
      <c r="A75" s="303">
        <v>9</v>
      </c>
      <c r="B75" s="287" t="s">
        <v>165</v>
      </c>
      <c r="C75" s="302" t="s">
        <v>256</v>
      </c>
      <c r="D75" s="288" t="s">
        <v>144</v>
      </c>
      <c r="E75" s="9" t="s">
        <v>13</v>
      </c>
      <c r="F75" s="7" t="s">
        <v>20</v>
      </c>
      <c r="G75" s="9" t="s">
        <v>260</v>
      </c>
      <c r="H75" s="7" t="s">
        <v>162</v>
      </c>
      <c r="I75" s="92">
        <v>655.23</v>
      </c>
      <c r="J75" s="92">
        <v>516.42</v>
      </c>
      <c r="K75" s="92">
        <v>516.42</v>
      </c>
      <c r="L75" s="78">
        <f>SUM(I75:K75)</f>
        <v>1688.0700000000002</v>
      </c>
    </row>
    <row r="76" spans="1:12" s="6" customFormat="1" ht="21.75" customHeight="1">
      <c r="A76" s="303"/>
      <c r="B76" s="287"/>
      <c r="C76" s="302"/>
      <c r="D76" s="288"/>
      <c r="E76" s="9" t="s">
        <v>13</v>
      </c>
      <c r="F76" s="7" t="s">
        <v>20</v>
      </c>
      <c r="G76" s="9" t="s">
        <v>260</v>
      </c>
      <c r="H76" s="7" t="s">
        <v>162</v>
      </c>
      <c r="I76" s="92">
        <v>150.48768</v>
      </c>
      <c r="J76" s="92">
        <v>0</v>
      </c>
      <c r="K76" s="92">
        <v>0</v>
      </c>
      <c r="L76" s="78">
        <f>SUM(I76:K76)</f>
        <v>150.48768</v>
      </c>
    </row>
    <row r="77" spans="1:12" s="29" customFormat="1" ht="17.25" customHeight="1">
      <c r="A77" s="303"/>
      <c r="B77" s="287"/>
      <c r="C77" s="302"/>
      <c r="D77" s="288"/>
      <c r="E77" s="289" t="s">
        <v>155</v>
      </c>
      <c r="F77" s="289"/>
      <c r="G77" s="289"/>
      <c r="H77" s="289"/>
      <c r="I77" s="218">
        <f>SUM(I75:I76)</f>
        <v>805.71768</v>
      </c>
      <c r="J77" s="171">
        <f>SUM(J75:J76)</f>
        <v>516.42</v>
      </c>
      <c r="K77" s="171">
        <f>SUM(K75:K76)</f>
        <v>516.42</v>
      </c>
      <c r="L77" s="172">
        <f>SUM(L75:L76)</f>
        <v>1838.5576800000001</v>
      </c>
    </row>
    <row r="78" spans="1:12" s="6" customFormat="1" ht="15.75" customHeight="1">
      <c r="A78" s="303">
        <v>10</v>
      </c>
      <c r="B78" s="287" t="s">
        <v>166</v>
      </c>
      <c r="C78" s="302" t="s">
        <v>181</v>
      </c>
      <c r="D78" s="288" t="s">
        <v>144</v>
      </c>
      <c r="E78" s="13" t="s">
        <v>13</v>
      </c>
      <c r="F78" s="7" t="s">
        <v>20</v>
      </c>
      <c r="G78" s="9" t="s">
        <v>252</v>
      </c>
      <c r="H78" s="7">
        <v>244</v>
      </c>
      <c r="I78" s="92">
        <v>0</v>
      </c>
      <c r="J78" s="92">
        <v>0</v>
      </c>
      <c r="K78" s="92">
        <v>0</v>
      </c>
      <c r="L78" s="78">
        <f>SUM(I78:K78)</f>
        <v>0</v>
      </c>
    </row>
    <row r="79" spans="1:12" s="6" customFormat="1" ht="15.75" customHeight="1">
      <c r="A79" s="303"/>
      <c r="B79" s="287"/>
      <c r="C79" s="302"/>
      <c r="D79" s="288"/>
      <c r="E79" s="13" t="s">
        <v>13</v>
      </c>
      <c r="F79" s="7" t="s">
        <v>20</v>
      </c>
      <c r="G79" s="9" t="s">
        <v>252</v>
      </c>
      <c r="H79" s="7">
        <v>611</v>
      </c>
      <c r="I79" s="92">
        <v>1363.5216</v>
      </c>
      <c r="J79" s="92">
        <v>1382.913</v>
      </c>
      <c r="K79" s="92">
        <v>1382.913</v>
      </c>
      <c r="L79" s="78">
        <f>SUM(I79:K79)</f>
        <v>4129.3476</v>
      </c>
    </row>
    <row r="80" spans="1:12" s="6" customFormat="1" ht="15.75" customHeight="1">
      <c r="A80" s="303"/>
      <c r="B80" s="287"/>
      <c r="C80" s="302"/>
      <c r="D80" s="288"/>
      <c r="E80" s="13" t="s">
        <v>13</v>
      </c>
      <c r="F80" s="7" t="s">
        <v>20</v>
      </c>
      <c r="G80" s="9" t="s">
        <v>252</v>
      </c>
      <c r="H80" s="7">
        <v>621</v>
      </c>
      <c r="I80" s="92">
        <v>628.0092</v>
      </c>
      <c r="J80" s="92">
        <v>624.9474</v>
      </c>
      <c r="K80" s="92">
        <v>624.9474</v>
      </c>
      <c r="L80" s="78">
        <f>SUM(I80:K80)</f>
        <v>1877.904</v>
      </c>
    </row>
    <row r="81" spans="1:12" s="6" customFormat="1" ht="15" customHeight="1">
      <c r="A81" s="303"/>
      <c r="B81" s="287"/>
      <c r="C81" s="302"/>
      <c r="D81" s="288"/>
      <c r="E81" s="289" t="s">
        <v>155</v>
      </c>
      <c r="F81" s="289"/>
      <c r="G81" s="289"/>
      <c r="H81" s="289"/>
      <c r="I81" s="229">
        <f>SUM(I78:I80)</f>
        <v>1991.5308</v>
      </c>
      <c r="J81" s="219">
        <f>SUM(J78:J80)</f>
        <v>2007.8604</v>
      </c>
      <c r="K81" s="219">
        <f>SUM(K78:K80)</f>
        <v>2007.8604</v>
      </c>
      <c r="L81" s="220">
        <f>SUM(L78:L80)</f>
        <v>6007.2516</v>
      </c>
    </row>
    <row r="82" spans="1:13" s="6" customFormat="1" ht="15" customHeight="1">
      <c r="A82" s="303">
        <v>11</v>
      </c>
      <c r="B82" s="287" t="s">
        <v>169</v>
      </c>
      <c r="C82" s="302" t="s">
        <v>167</v>
      </c>
      <c r="D82" s="288" t="s">
        <v>144</v>
      </c>
      <c r="E82" s="9" t="s">
        <v>13</v>
      </c>
      <c r="F82" s="7" t="s">
        <v>24</v>
      </c>
      <c r="G82" s="9" t="s">
        <v>168</v>
      </c>
      <c r="H82" s="7">
        <v>611</v>
      </c>
      <c r="I82" s="92">
        <v>10011.1</v>
      </c>
      <c r="J82" s="92">
        <v>7587.9</v>
      </c>
      <c r="K82" s="92">
        <v>9383.2</v>
      </c>
      <c r="L82" s="78">
        <f>SUM(I82:K82)</f>
        <v>26982.2</v>
      </c>
      <c r="M82" s="143" t="s">
        <v>320</v>
      </c>
    </row>
    <row r="83" spans="1:13" s="6" customFormat="1" ht="15" customHeight="1">
      <c r="A83" s="303"/>
      <c r="B83" s="287"/>
      <c r="C83" s="302"/>
      <c r="D83" s="288"/>
      <c r="E83" s="9" t="s">
        <v>13</v>
      </c>
      <c r="F83" s="7" t="s">
        <v>24</v>
      </c>
      <c r="G83" s="9" t="s">
        <v>168</v>
      </c>
      <c r="H83" s="7">
        <v>621</v>
      </c>
      <c r="I83" s="92">
        <v>4193.5</v>
      </c>
      <c r="J83" s="92">
        <v>3258</v>
      </c>
      <c r="K83" s="92">
        <v>4024.5</v>
      </c>
      <c r="L83" s="78">
        <f>SUM(I83:K83)</f>
        <v>11476</v>
      </c>
      <c r="M83" s="143" t="s">
        <v>320</v>
      </c>
    </row>
    <row r="84" spans="1:13" s="6" customFormat="1" ht="15" customHeight="1">
      <c r="A84" s="303"/>
      <c r="B84" s="287"/>
      <c r="C84" s="302"/>
      <c r="D84" s="288"/>
      <c r="E84" s="9" t="s">
        <v>13</v>
      </c>
      <c r="F84" s="7" t="s">
        <v>24</v>
      </c>
      <c r="G84" s="9" t="s">
        <v>168</v>
      </c>
      <c r="H84" s="7">
        <v>244</v>
      </c>
      <c r="I84" s="92">
        <v>14.952</v>
      </c>
      <c r="J84" s="92">
        <v>0</v>
      </c>
      <c r="K84" s="92">
        <v>0</v>
      </c>
      <c r="L84" s="78">
        <f>SUM(I84:K84)</f>
        <v>14.952</v>
      </c>
      <c r="M84" s="143" t="s">
        <v>320</v>
      </c>
    </row>
    <row r="85" spans="1:13" s="6" customFormat="1" ht="15" customHeight="1">
      <c r="A85" s="303"/>
      <c r="B85" s="287"/>
      <c r="C85" s="302"/>
      <c r="D85" s="288"/>
      <c r="E85" s="9" t="s">
        <v>13</v>
      </c>
      <c r="F85" s="7" t="s">
        <v>24</v>
      </c>
      <c r="G85" s="9" t="s">
        <v>168</v>
      </c>
      <c r="H85" s="7">
        <v>321</v>
      </c>
      <c r="I85" s="92">
        <v>981.848</v>
      </c>
      <c r="J85" s="92">
        <v>591.5</v>
      </c>
      <c r="K85" s="92">
        <v>753.8</v>
      </c>
      <c r="L85" s="78">
        <f>SUM(I85:K85)</f>
        <v>2327.148</v>
      </c>
      <c r="M85" s="143" t="s">
        <v>320</v>
      </c>
    </row>
    <row r="86" spans="1:12" s="6" customFormat="1" ht="17.25" customHeight="1">
      <c r="A86" s="303"/>
      <c r="B86" s="287"/>
      <c r="C86" s="302"/>
      <c r="D86" s="288"/>
      <c r="E86" s="289" t="s">
        <v>155</v>
      </c>
      <c r="F86" s="289"/>
      <c r="G86" s="289"/>
      <c r="H86" s="289"/>
      <c r="I86" s="229">
        <f>SUM(I82:I85)</f>
        <v>15201.4</v>
      </c>
      <c r="J86" s="219">
        <f>SUM(J82:J85)</f>
        <v>11437.4</v>
      </c>
      <c r="K86" s="219">
        <f>SUM(K82:K85)</f>
        <v>14161.5</v>
      </c>
      <c r="L86" s="220">
        <f>SUM(L82:L85)</f>
        <v>40800.299999999996</v>
      </c>
    </row>
    <row r="87" spans="1:16" s="6" customFormat="1" ht="14.25" customHeight="1">
      <c r="A87" s="299">
        <v>12</v>
      </c>
      <c r="B87" s="294" t="s">
        <v>170</v>
      </c>
      <c r="C87" s="291" t="s">
        <v>421</v>
      </c>
      <c r="D87" s="285" t="s">
        <v>144</v>
      </c>
      <c r="E87" s="9" t="s">
        <v>13</v>
      </c>
      <c r="F87" s="7" t="s">
        <v>24</v>
      </c>
      <c r="G87" s="9" t="s">
        <v>394</v>
      </c>
      <c r="H87" s="7">
        <v>612</v>
      </c>
      <c r="I87" s="92">
        <v>15266.67059</v>
      </c>
      <c r="J87" s="92">
        <v>14494.42527</v>
      </c>
      <c r="K87" s="92">
        <v>13890.00076</v>
      </c>
      <c r="L87" s="78">
        <f>SUM(I87:K87)</f>
        <v>43651.096620000004</v>
      </c>
      <c r="M87" s="143" t="s">
        <v>318</v>
      </c>
      <c r="N87" s="137">
        <f>I89+I92+I95</f>
        <v>33117.117</v>
      </c>
      <c r="O87" s="137">
        <f>J89+J92+J95</f>
        <v>33117.117</v>
      </c>
      <c r="P87" s="137">
        <f>K89+K92+K95</f>
        <v>32053.453</v>
      </c>
    </row>
    <row r="88" spans="1:13" s="6" customFormat="1" ht="14.25" customHeight="1">
      <c r="A88" s="300"/>
      <c r="B88" s="295"/>
      <c r="C88" s="292"/>
      <c r="D88" s="290"/>
      <c r="E88" s="9" t="s">
        <v>13</v>
      </c>
      <c r="F88" s="7" t="s">
        <v>24</v>
      </c>
      <c r="G88" s="9" t="s">
        <v>394</v>
      </c>
      <c r="H88" s="7">
        <v>622</v>
      </c>
      <c r="I88" s="92">
        <v>8138.45128</v>
      </c>
      <c r="J88" s="92">
        <v>7727.80771</v>
      </c>
      <c r="K88" s="92">
        <v>7404.65761</v>
      </c>
      <c r="L88" s="78">
        <f>SUM(I88:K88)</f>
        <v>23270.9166</v>
      </c>
      <c r="M88" s="143" t="s">
        <v>318</v>
      </c>
    </row>
    <row r="89" spans="1:12" s="6" customFormat="1" ht="14.25" customHeight="1">
      <c r="A89" s="300"/>
      <c r="B89" s="295"/>
      <c r="C89" s="292"/>
      <c r="D89" s="290"/>
      <c r="E89" s="289" t="s">
        <v>155</v>
      </c>
      <c r="F89" s="289"/>
      <c r="G89" s="289"/>
      <c r="H89" s="289"/>
      <c r="I89" s="229">
        <f>SUM(I87:I88)</f>
        <v>23405.12187</v>
      </c>
      <c r="J89" s="219">
        <f>SUM(J87:J88)</f>
        <v>22222.23298</v>
      </c>
      <c r="K89" s="219">
        <f>SUM(K87:K88)</f>
        <v>21294.65837</v>
      </c>
      <c r="L89" s="219">
        <f>SUM(L87:L88)</f>
        <v>66922.01322000001</v>
      </c>
    </row>
    <row r="90" spans="1:13" s="6" customFormat="1" ht="14.25" customHeight="1">
      <c r="A90" s="300"/>
      <c r="B90" s="295"/>
      <c r="C90" s="292"/>
      <c r="D90" s="290"/>
      <c r="E90" s="9" t="s">
        <v>13</v>
      </c>
      <c r="F90" s="7" t="s">
        <v>24</v>
      </c>
      <c r="G90" s="9" t="s">
        <v>394</v>
      </c>
      <c r="H90" s="7">
        <v>612</v>
      </c>
      <c r="I90" s="92">
        <v>6313.32941</v>
      </c>
      <c r="J90" s="92">
        <v>7084.57473</v>
      </c>
      <c r="K90" s="92">
        <v>6996.79924</v>
      </c>
      <c r="L90" s="78">
        <f>SUM(I90:K90)</f>
        <v>20394.70338</v>
      </c>
      <c r="M90" s="143" t="s">
        <v>320</v>
      </c>
    </row>
    <row r="91" spans="1:13" s="6" customFormat="1" ht="14.25" customHeight="1">
      <c r="A91" s="300"/>
      <c r="B91" s="295"/>
      <c r="C91" s="292"/>
      <c r="D91" s="290"/>
      <c r="E91" s="9" t="s">
        <v>13</v>
      </c>
      <c r="F91" s="7" t="s">
        <v>24</v>
      </c>
      <c r="G91" s="9" t="s">
        <v>394</v>
      </c>
      <c r="H91" s="7">
        <v>622</v>
      </c>
      <c r="I91" s="92">
        <v>3365.54872</v>
      </c>
      <c r="J91" s="92">
        <v>3777.19229</v>
      </c>
      <c r="K91" s="92">
        <v>3729.94239</v>
      </c>
      <c r="L91" s="78">
        <f>SUM(I91:K91)</f>
        <v>10872.6834</v>
      </c>
      <c r="M91" s="143" t="s">
        <v>320</v>
      </c>
    </row>
    <row r="92" spans="1:13" s="6" customFormat="1" ht="14.25" customHeight="1">
      <c r="A92" s="300"/>
      <c r="B92" s="295"/>
      <c r="C92" s="292"/>
      <c r="D92" s="290"/>
      <c r="E92" s="289" t="s">
        <v>155</v>
      </c>
      <c r="F92" s="289"/>
      <c r="G92" s="289"/>
      <c r="H92" s="289"/>
      <c r="I92" s="229">
        <f>SUM(I90:I91)</f>
        <v>9678.878130000001</v>
      </c>
      <c r="J92" s="219">
        <f>SUM(J90:J91)</f>
        <v>10861.76702</v>
      </c>
      <c r="K92" s="219">
        <f>SUM(K90:K91)</f>
        <v>10726.74163</v>
      </c>
      <c r="L92" s="219">
        <f>SUM(L90:L91)</f>
        <v>31267.38678</v>
      </c>
      <c r="M92" s="143"/>
    </row>
    <row r="93" spans="1:13" s="6" customFormat="1" ht="14.25" customHeight="1">
      <c r="A93" s="300"/>
      <c r="B93" s="295"/>
      <c r="C93" s="292"/>
      <c r="D93" s="290"/>
      <c r="E93" s="9" t="s">
        <v>13</v>
      </c>
      <c r="F93" s="7" t="s">
        <v>24</v>
      </c>
      <c r="G93" s="9" t="s">
        <v>394</v>
      </c>
      <c r="H93" s="7">
        <v>612</v>
      </c>
      <c r="I93" s="92">
        <v>21.602</v>
      </c>
      <c r="J93" s="92">
        <v>21.601</v>
      </c>
      <c r="K93" s="92">
        <v>20.908</v>
      </c>
      <c r="L93" s="78">
        <f>SUM(I93:K93)</f>
        <v>64.111</v>
      </c>
      <c r="M93" s="143" t="s">
        <v>319</v>
      </c>
    </row>
    <row r="94" spans="1:13" s="6" customFormat="1" ht="14.25" customHeight="1">
      <c r="A94" s="300"/>
      <c r="B94" s="295"/>
      <c r="C94" s="292"/>
      <c r="D94" s="290"/>
      <c r="E94" s="9" t="s">
        <v>13</v>
      </c>
      <c r="F94" s="7" t="s">
        <v>24</v>
      </c>
      <c r="G94" s="9" t="s">
        <v>394</v>
      </c>
      <c r="H94" s="7">
        <v>622</v>
      </c>
      <c r="I94" s="92">
        <v>11.515</v>
      </c>
      <c r="J94" s="92">
        <v>11.516</v>
      </c>
      <c r="K94" s="92">
        <v>11.145</v>
      </c>
      <c r="L94" s="78">
        <f>SUM(I94:K94)</f>
        <v>34.176</v>
      </c>
      <c r="M94" s="143" t="s">
        <v>319</v>
      </c>
    </row>
    <row r="95" spans="1:12" s="6" customFormat="1" ht="14.25" customHeight="1">
      <c r="A95" s="301"/>
      <c r="B95" s="296"/>
      <c r="C95" s="293"/>
      <c r="D95" s="286"/>
      <c r="E95" s="289" t="s">
        <v>155</v>
      </c>
      <c r="F95" s="289"/>
      <c r="G95" s="289"/>
      <c r="H95" s="289"/>
      <c r="I95" s="229">
        <f>SUM(I93:I94)</f>
        <v>33.117000000000004</v>
      </c>
      <c r="J95" s="219">
        <f>SUM(J93:J94)</f>
        <v>33.117</v>
      </c>
      <c r="K95" s="219">
        <f>SUM(K93:K94)</f>
        <v>32.053</v>
      </c>
      <c r="L95" s="219">
        <f>SUM(L93:L94)</f>
        <v>98.287</v>
      </c>
    </row>
    <row r="96" spans="1:12" s="6" customFormat="1" ht="27" customHeight="1">
      <c r="A96" s="303">
        <v>13</v>
      </c>
      <c r="B96" s="287" t="s">
        <v>257</v>
      </c>
      <c r="C96" s="302" t="s">
        <v>171</v>
      </c>
      <c r="D96" s="288" t="s">
        <v>144</v>
      </c>
      <c r="E96" s="9" t="s">
        <v>13</v>
      </c>
      <c r="F96" s="7" t="s">
        <v>21</v>
      </c>
      <c r="G96" s="9" t="s">
        <v>172</v>
      </c>
      <c r="H96" s="7">
        <v>244</v>
      </c>
      <c r="I96" s="92">
        <v>61.5</v>
      </c>
      <c r="J96" s="92">
        <v>61.5</v>
      </c>
      <c r="K96" s="92">
        <v>61.5</v>
      </c>
      <c r="L96" s="78">
        <f>SUM(I96:K96)</f>
        <v>184.5</v>
      </c>
    </row>
    <row r="97" spans="1:12" s="6" customFormat="1" ht="27" customHeight="1">
      <c r="A97" s="303"/>
      <c r="B97" s="287"/>
      <c r="C97" s="302"/>
      <c r="D97" s="288"/>
      <c r="E97" s="9" t="s">
        <v>13</v>
      </c>
      <c r="F97" s="7" t="s">
        <v>21</v>
      </c>
      <c r="G97" s="9" t="s">
        <v>172</v>
      </c>
      <c r="H97" s="7">
        <v>321</v>
      </c>
      <c r="I97" s="92">
        <v>6152.1</v>
      </c>
      <c r="J97" s="92">
        <v>6152.1</v>
      </c>
      <c r="K97" s="92">
        <v>6152.1</v>
      </c>
      <c r="L97" s="78">
        <f>SUM(I97:K97)</f>
        <v>18456.300000000003</v>
      </c>
    </row>
    <row r="98" spans="1:12" s="29" customFormat="1" ht="17.25" customHeight="1">
      <c r="A98" s="303"/>
      <c r="B98" s="287"/>
      <c r="C98" s="302"/>
      <c r="D98" s="288"/>
      <c r="E98" s="289" t="s">
        <v>155</v>
      </c>
      <c r="F98" s="289"/>
      <c r="G98" s="289"/>
      <c r="H98" s="289"/>
      <c r="I98" s="229">
        <f>SUM(I96:I97)</f>
        <v>6213.6</v>
      </c>
      <c r="J98" s="219">
        <f>SUM(J96:J97)</f>
        <v>6213.6</v>
      </c>
      <c r="K98" s="219">
        <f>SUM(K96:K97)</f>
        <v>6213.6</v>
      </c>
      <c r="L98" s="220">
        <f>SUM(L96:L97)</f>
        <v>18640.800000000003</v>
      </c>
    </row>
    <row r="99" spans="1:12" s="29" customFormat="1" ht="17.25" customHeight="1">
      <c r="A99" s="299">
        <v>14</v>
      </c>
      <c r="B99" s="294" t="s">
        <v>263</v>
      </c>
      <c r="C99" s="291" t="s">
        <v>424</v>
      </c>
      <c r="D99" s="285" t="s">
        <v>144</v>
      </c>
      <c r="E99" s="9" t="s">
        <v>13</v>
      </c>
      <c r="F99" s="7" t="s">
        <v>23</v>
      </c>
      <c r="G99" s="9" t="s">
        <v>310</v>
      </c>
      <c r="H99" s="7">
        <v>244</v>
      </c>
      <c r="I99" s="92">
        <v>0</v>
      </c>
      <c r="J99" s="92">
        <v>0</v>
      </c>
      <c r="K99" s="92">
        <v>0</v>
      </c>
      <c r="L99" s="78">
        <f>SUM(I99:K99)</f>
        <v>0</v>
      </c>
    </row>
    <row r="100" spans="1:13" s="29" customFormat="1" ht="17.25" customHeight="1">
      <c r="A100" s="300"/>
      <c r="B100" s="295"/>
      <c r="C100" s="292"/>
      <c r="D100" s="290"/>
      <c r="E100" s="9" t="s">
        <v>13</v>
      </c>
      <c r="F100" s="7" t="s">
        <v>23</v>
      </c>
      <c r="G100" s="9" t="s">
        <v>310</v>
      </c>
      <c r="H100" s="7">
        <v>612</v>
      </c>
      <c r="I100" s="92">
        <v>2204.5468</v>
      </c>
      <c r="J100" s="92">
        <v>2620</v>
      </c>
      <c r="K100" s="92">
        <v>2620</v>
      </c>
      <c r="L100" s="78">
        <f>SUM(I100:K100)</f>
        <v>7444.5468</v>
      </c>
      <c r="M100" s="142" t="s">
        <v>320</v>
      </c>
    </row>
    <row r="101" spans="1:13" s="29" customFormat="1" ht="17.25" customHeight="1">
      <c r="A101" s="300"/>
      <c r="B101" s="295"/>
      <c r="C101" s="292"/>
      <c r="D101" s="290"/>
      <c r="E101" s="9" t="s">
        <v>13</v>
      </c>
      <c r="F101" s="7" t="s">
        <v>23</v>
      </c>
      <c r="G101" s="9" t="s">
        <v>310</v>
      </c>
      <c r="H101" s="7">
        <v>622</v>
      </c>
      <c r="I101" s="92">
        <v>415.4532</v>
      </c>
      <c r="J101" s="92">
        <v>0</v>
      </c>
      <c r="K101" s="92">
        <v>0</v>
      </c>
      <c r="L101" s="78">
        <f>SUM(I101:K101)</f>
        <v>415.4532</v>
      </c>
      <c r="M101" s="142" t="s">
        <v>320</v>
      </c>
    </row>
    <row r="102" spans="1:13" s="29" customFormat="1" ht="17.25" customHeight="1">
      <c r="A102" s="300"/>
      <c r="B102" s="295"/>
      <c r="C102" s="292"/>
      <c r="D102" s="290"/>
      <c r="E102" s="289" t="s">
        <v>155</v>
      </c>
      <c r="F102" s="289"/>
      <c r="G102" s="289"/>
      <c r="H102" s="289"/>
      <c r="I102" s="229">
        <f>SUM(I99:I101)</f>
        <v>2620</v>
      </c>
      <c r="J102" s="219">
        <f>SUM(J99:J101)</f>
        <v>2620</v>
      </c>
      <c r="K102" s="219">
        <f>SUM(K99:K101)</f>
        <v>2620</v>
      </c>
      <c r="L102" s="219">
        <f>SUM(L99:L101)</f>
        <v>7860</v>
      </c>
      <c r="M102" s="142"/>
    </row>
    <row r="103" spans="1:13" s="29" customFormat="1" ht="17.25" customHeight="1">
      <c r="A103" s="300"/>
      <c r="B103" s="295"/>
      <c r="C103" s="292"/>
      <c r="D103" s="290"/>
      <c r="E103" s="9" t="s">
        <v>13</v>
      </c>
      <c r="F103" s="7" t="s">
        <v>23</v>
      </c>
      <c r="G103" s="9" t="s">
        <v>310</v>
      </c>
      <c r="H103" s="7">
        <v>612</v>
      </c>
      <c r="I103" s="92">
        <v>26.51</v>
      </c>
      <c r="J103" s="92">
        <v>26.465</v>
      </c>
      <c r="K103" s="92">
        <v>26.465</v>
      </c>
      <c r="L103" s="78">
        <f>SUM(I103:K103)</f>
        <v>79.44</v>
      </c>
      <c r="M103" s="142" t="s">
        <v>319</v>
      </c>
    </row>
    <row r="104" spans="1:12" s="29" customFormat="1" ht="17.25" customHeight="1">
      <c r="A104" s="301"/>
      <c r="B104" s="296"/>
      <c r="C104" s="293"/>
      <c r="D104" s="286"/>
      <c r="E104" s="289" t="s">
        <v>155</v>
      </c>
      <c r="F104" s="289"/>
      <c r="G104" s="289"/>
      <c r="H104" s="289"/>
      <c r="I104" s="229">
        <f>I103</f>
        <v>26.51</v>
      </c>
      <c r="J104" s="219">
        <f>J103</f>
        <v>26.465</v>
      </c>
      <c r="K104" s="219">
        <f>K103</f>
        <v>26.465</v>
      </c>
      <c r="L104" s="219">
        <f>L103</f>
        <v>79.44</v>
      </c>
    </row>
    <row r="105" spans="1:13" s="29" customFormat="1" ht="18.75" customHeight="1">
      <c r="A105" s="299">
        <v>15</v>
      </c>
      <c r="B105" s="294" t="s">
        <v>308</v>
      </c>
      <c r="C105" s="291" t="s">
        <v>423</v>
      </c>
      <c r="D105" s="285" t="s">
        <v>144</v>
      </c>
      <c r="E105" s="9" t="s">
        <v>13</v>
      </c>
      <c r="F105" s="7" t="s">
        <v>23</v>
      </c>
      <c r="G105" s="9" t="s">
        <v>322</v>
      </c>
      <c r="H105" s="7">
        <v>612</v>
      </c>
      <c r="I105" s="92">
        <v>600</v>
      </c>
      <c r="J105" s="92">
        <v>0</v>
      </c>
      <c r="K105" s="92">
        <v>0</v>
      </c>
      <c r="L105" s="78">
        <f>SUM(I105:K105)</f>
        <v>600</v>
      </c>
      <c r="M105" s="142" t="s">
        <v>320</v>
      </c>
    </row>
    <row r="106" spans="1:13" s="29" customFormat="1" ht="18.75" customHeight="1">
      <c r="A106" s="300"/>
      <c r="B106" s="295"/>
      <c r="C106" s="292"/>
      <c r="D106" s="290"/>
      <c r="E106" s="9" t="s">
        <v>13</v>
      </c>
      <c r="F106" s="7" t="s">
        <v>23</v>
      </c>
      <c r="G106" s="9" t="s">
        <v>322</v>
      </c>
      <c r="H106" s="7">
        <v>622</v>
      </c>
      <c r="I106" s="92">
        <v>600</v>
      </c>
      <c r="J106" s="92">
        <v>0</v>
      </c>
      <c r="K106" s="92">
        <v>0</v>
      </c>
      <c r="L106" s="78">
        <f>SUM(I106:K106)</f>
        <v>600</v>
      </c>
      <c r="M106" s="142" t="s">
        <v>320</v>
      </c>
    </row>
    <row r="107" spans="1:13" s="29" customFormat="1" ht="17.25" customHeight="1">
      <c r="A107" s="300"/>
      <c r="B107" s="295"/>
      <c r="C107" s="292"/>
      <c r="D107" s="290"/>
      <c r="E107" s="289" t="s">
        <v>155</v>
      </c>
      <c r="F107" s="289"/>
      <c r="G107" s="289"/>
      <c r="H107" s="289"/>
      <c r="I107" s="229">
        <f>I105+I106</f>
        <v>1200</v>
      </c>
      <c r="J107" s="219">
        <f>J105+J106</f>
        <v>0</v>
      </c>
      <c r="K107" s="219">
        <f>K105+K106</f>
        <v>0</v>
      </c>
      <c r="L107" s="219">
        <f>L105+L106</f>
        <v>1200</v>
      </c>
      <c r="M107" s="142"/>
    </row>
    <row r="108" spans="1:13" s="29" customFormat="1" ht="17.25" customHeight="1">
      <c r="A108" s="300"/>
      <c r="B108" s="295"/>
      <c r="C108" s="292"/>
      <c r="D108" s="290"/>
      <c r="E108" s="9" t="s">
        <v>13</v>
      </c>
      <c r="F108" s="7" t="s">
        <v>23</v>
      </c>
      <c r="G108" s="9" t="s">
        <v>322</v>
      </c>
      <c r="H108" s="7">
        <v>612</v>
      </c>
      <c r="I108" s="92">
        <v>6.1</v>
      </c>
      <c r="J108" s="92">
        <v>0</v>
      </c>
      <c r="K108" s="92">
        <v>0</v>
      </c>
      <c r="L108" s="78">
        <f>SUM(I108:K108)</f>
        <v>6.1</v>
      </c>
      <c r="M108" s="142" t="s">
        <v>319</v>
      </c>
    </row>
    <row r="109" spans="1:13" s="29" customFormat="1" ht="18" customHeight="1">
      <c r="A109" s="300"/>
      <c r="B109" s="295"/>
      <c r="C109" s="292"/>
      <c r="D109" s="290"/>
      <c r="E109" s="9" t="s">
        <v>13</v>
      </c>
      <c r="F109" s="7" t="s">
        <v>23</v>
      </c>
      <c r="G109" s="9" t="s">
        <v>322</v>
      </c>
      <c r="H109" s="7">
        <v>622</v>
      </c>
      <c r="I109" s="92">
        <v>6.1</v>
      </c>
      <c r="J109" s="92">
        <v>0</v>
      </c>
      <c r="K109" s="92">
        <v>0</v>
      </c>
      <c r="L109" s="78">
        <f>SUM(I109:K109)</f>
        <v>6.1</v>
      </c>
      <c r="M109" s="142" t="s">
        <v>319</v>
      </c>
    </row>
    <row r="110" spans="1:12" s="29" customFormat="1" ht="17.25" customHeight="1">
      <c r="A110" s="301"/>
      <c r="B110" s="296"/>
      <c r="C110" s="293"/>
      <c r="D110" s="286"/>
      <c r="E110" s="289" t="s">
        <v>155</v>
      </c>
      <c r="F110" s="289"/>
      <c r="G110" s="289"/>
      <c r="H110" s="289"/>
      <c r="I110" s="229">
        <f>I109+I108</f>
        <v>12.2</v>
      </c>
      <c r="J110" s="219">
        <f>J109+J108</f>
        <v>0</v>
      </c>
      <c r="K110" s="219">
        <f>K109+K108</f>
        <v>0</v>
      </c>
      <c r="L110" s="219">
        <f>L109+L108</f>
        <v>12.2</v>
      </c>
    </row>
    <row r="111" spans="1:13" s="29" customFormat="1" ht="19.5" customHeight="1">
      <c r="A111" s="299">
        <v>16</v>
      </c>
      <c r="B111" s="294" t="s">
        <v>311</v>
      </c>
      <c r="C111" s="291" t="s">
        <v>423</v>
      </c>
      <c r="D111" s="285" t="s">
        <v>144</v>
      </c>
      <c r="E111" s="9" t="s">
        <v>13</v>
      </c>
      <c r="F111" s="7" t="s">
        <v>23</v>
      </c>
      <c r="G111" s="9" t="s">
        <v>323</v>
      </c>
      <c r="H111" s="7">
        <v>244</v>
      </c>
      <c r="I111" s="92">
        <v>2578.49</v>
      </c>
      <c r="J111" s="92">
        <v>2617.39</v>
      </c>
      <c r="K111" s="92">
        <v>3951.44558</v>
      </c>
      <c r="L111" s="78">
        <f>SUM(I111:K111)</f>
        <v>9147.325579999999</v>
      </c>
      <c r="M111" s="142" t="s">
        <v>318</v>
      </c>
    </row>
    <row r="112" spans="1:13" s="29" customFormat="1" ht="19.5" customHeight="1">
      <c r="A112" s="300"/>
      <c r="B112" s="295"/>
      <c r="C112" s="292"/>
      <c r="D112" s="290"/>
      <c r="E112" s="9" t="s">
        <v>13</v>
      </c>
      <c r="F112" s="7" t="s">
        <v>23</v>
      </c>
      <c r="G112" s="9" t="s">
        <v>323</v>
      </c>
      <c r="H112" s="7">
        <v>244</v>
      </c>
      <c r="I112" s="92">
        <v>135.71</v>
      </c>
      <c r="J112" s="92">
        <v>137.75737</v>
      </c>
      <c r="K112" s="92">
        <v>207.97234</v>
      </c>
      <c r="L112" s="78">
        <f>SUM(I112:K112)</f>
        <v>481.43971</v>
      </c>
      <c r="M112" s="142" t="s">
        <v>320</v>
      </c>
    </row>
    <row r="113" spans="1:13" s="29" customFormat="1" ht="19.5" customHeight="1">
      <c r="A113" s="300"/>
      <c r="B113" s="295"/>
      <c r="C113" s="292"/>
      <c r="D113" s="290"/>
      <c r="E113" s="9" t="s">
        <v>13</v>
      </c>
      <c r="F113" s="7" t="s">
        <v>23</v>
      </c>
      <c r="G113" s="9" t="s">
        <v>323</v>
      </c>
      <c r="H113" s="7">
        <v>244</v>
      </c>
      <c r="I113" s="92">
        <v>27.5</v>
      </c>
      <c r="J113" s="92">
        <v>27.9</v>
      </c>
      <c r="K113" s="92">
        <v>42.1</v>
      </c>
      <c r="L113" s="78">
        <f>SUM(I113:K113)</f>
        <v>97.5</v>
      </c>
      <c r="M113" s="142" t="s">
        <v>319</v>
      </c>
    </row>
    <row r="114" spans="1:12" s="29" customFormat="1" ht="17.25" customHeight="1">
      <c r="A114" s="301"/>
      <c r="B114" s="296"/>
      <c r="C114" s="293"/>
      <c r="D114" s="286"/>
      <c r="E114" s="289" t="s">
        <v>155</v>
      </c>
      <c r="F114" s="289"/>
      <c r="G114" s="289"/>
      <c r="H114" s="289"/>
      <c r="I114" s="229">
        <f>SUM(I111:I113)</f>
        <v>2741.7</v>
      </c>
      <c r="J114" s="219">
        <f>SUM(J111:J113)</f>
        <v>2783.04737</v>
      </c>
      <c r="K114" s="219">
        <f>SUM(K111:K113)</f>
        <v>4201.51792</v>
      </c>
      <c r="L114" s="220">
        <f>SUM(L111:L113)</f>
        <v>9726.26529</v>
      </c>
    </row>
    <row r="115" spans="1:13" s="29" customFormat="1" ht="19.5" customHeight="1">
      <c r="A115" s="299">
        <v>17</v>
      </c>
      <c r="B115" s="294" t="s">
        <v>326</v>
      </c>
      <c r="C115" s="291" t="s">
        <v>422</v>
      </c>
      <c r="D115" s="285" t="s">
        <v>144</v>
      </c>
      <c r="E115" s="9" t="s">
        <v>13</v>
      </c>
      <c r="F115" s="7" t="s">
        <v>23</v>
      </c>
      <c r="G115" s="9" t="s">
        <v>324</v>
      </c>
      <c r="H115" s="7">
        <v>244</v>
      </c>
      <c r="I115" s="92">
        <v>0</v>
      </c>
      <c r="J115" s="92">
        <v>2502.85029</v>
      </c>
      <c r="K115" s="92">
        <v>3856.2403</v>
      </c>
      <c r="L115" s="78">
        <f>SUM(I115:K115)</f>
        <v>6359.09059</v>
      </c>
      <c r="M115" s="142" t="s">
        <v>318</v>
      </c>
    </row>
    <row r="116" spans="1:13" s="29" customFormat="1" ht="19.5" customHeight="1">
      <c r="A116" s="300"/>
      <c r="B116" s="295"/>
      <c r="C116" s="292"/>
      <c r="D116" s="290"/>
      <c r="E116" s="9" t="s">
        <v>13</v>
      </c>
      <c r="F116" s="7" t="s">
        <v>23</v>
      </c>
      <c r="G116" s="9" t="s">
        <v>324</v>
      </c>
      <c r="H116" s="7">
        <v>244</v>
      </c>
      <c r="I116" s="92">
        <v>0</v>
      </c>
      <c r="J116" s="92">
        <v>131.72957</v>
      </c>
      <c r="K116" s="92">
        <v>202.96047</v>
      </c>
      <c r="L116" s="78">
        <f>SUM(I116:K116)</f>
        <v>334.69003999999995</v>
      </c>
      <c r="M116" s="142" t="s">
        <v>320</v>
      </c>
    </row>
    <row r="117" spans="1:13" s="29" customFormat="1" ht="19.5" customHeight="1">
      <c r="A117" s="300"/>
      <c r="B117" s="295"/>
      <c r="C117" s="292"/>
      <c r="D117" s="290"/>
      <c r="E117" s="9" t="s">
        <v>13</v>
      </c>
      <c r="F117" s="7" t="s">
        <v>23</v>
      </c>
      <c r="G117" s="9" t="s">
        <v>324</v>
      </c>
      <c r="H117" s="7">
        <v>244</v>
      </c>
      <c r="I117" s="92">
        <v>0</v>
      </c>
      <c r="J117" s="92">
        <v>26.7</v>
      </c>
      <c r="K117" s="92">
        <v>41.1</v>
      </c>
      <c r="L117" s="78">
        <f>SUM(I117:K117)</f>
        <v>67.8</v>
      </c>
      <c r="M117" s="142" t="s">
        <v>319</v>
      </c>
    </row>
    <row r="118" spans="1:12" s="29" customFormat="1" ht="17.25" customHeight="1">
      <c r="A118" s="301"/>
      <c r="B118" s="296"/>
      <c r="C118" s="293"/>
      <c r="D118" s="286"/>
      <c r="E118" s="289" t="s">
        <v>155</v>
      </c>
      <c r="F118" s="289"/>
      <c r="G118" s="289"/>
      <c r="H118" s="289"/>
      <c r="I118" s="219">
        <f>SUM(I115:I117)</f>
        <v>0</v>
      </c>
      <c r="J118" s="219">
        <f>SUM(J115:J117)</f>
        <v>2661.2798599999996</v>
      </c>
      <c r="K118" s="219">
        <f>SUM(K115:K117)</f>
        <v>4100.30077</v>
      </c>
      <c r="L118" s="220">
        <f>SUM(L115:L117)</f>
        <v>6761.5806299999995</v>
      </c>
    </row>
    <row r="119" spans="1:13" s="29" customFormat="1" ht="19.5" customHeight="1">
      <c r="A119" s="299">
        <v>18</v>
      </c>
      <c r="B119" s="294" t="s">
        <v>327</v>
      </c>
      <c r="C119" s="291" t="s">
        <v>425</v>
      </c>
      <c r="D119" s="285" t="s">
        <v>144</v>
      </c>
      <c r="E119" s="9" t="s">
        <v>13</v>
      </c>
      <c r="F119" s="7" t="s">
        <v>23</v>
      </c>
      <c r="G119" s="9" t="s">
        <v>426</v>
      </c>
      <c r="H119" s="7">
        <v>464</v>
      </c>
      <c r="I119" s="92">
        <v>5940.48384</v>
      </c>
      <c r="J119" s="92">
        <v>0</v>
      </c>
      <c r="K119" s="92">
        <v>0</v>
      </c>
      <c r="L119" s="78">
        <f>SUM(I119:K119)</f>
        <v>5940.48384</v>
      </c>
      <c r="M119" s="142" t="s">
        <v>320</v>
      </c>
    </row>
    <row r="120" spans="1:13" s="29" customFormat="1" ht="19.5" customHeight="1">
      <c r="A120" s="300"/>
      <c r="B120" s="295"/>
      <c r="C120" s="292"/>
      <c r="D120" s="290"/>
      <c r="E120" s="9" t="s">
        <v>13</v>
      </c>
      <c r="F120" s="7" t="s">
        <v>23</v>
      </c>
      <c r="G120" s="9" t="s">
        <v>426</v>
      </c>
      <c r="H120" s="7">
        <v>612</v>
      </c>
      <c r="I120" s="92">
        <v>1559.51616</v>
      </c>
      <c r="J120" s="92">
        <v>0</v>
      </c>
      <c r="K120" s="92">
        <v>0</v>
      </c>
      <c r="L120" s="78">
        <f>SUM(I120:K120)</f>
        <v>1559.51616</v>
      </c>
      <c r="M120" s="142" t="s">
        <v>320</v>
      </c>
    </row>
    <row r="121" spans="1:13" s="29" customFormat="1" ht="19.5" customHeight="1">
      <c r="A121" s="300"/>
      <c r="B121" s="295"/>
      <c r="C121" s="292"/>
      <c r="D121" s="290"/>
      <c r="E121" s="9" t="s">
        <v>13</v>
      </c>
      <c r="F121" s="7" t="s">
        <v>23</v>
      </c>
      <c r="G121" s="9" t="s">
        <v>426</v>
      </c>
      <c r="H121" s="7">
        <v>464</v>
      </c>
      <c r="I121" s="92">
        <v>76</v>
      </c>
      <c r="J121" s="92">
        <v>0</v>
      </c>
      <c r="K121" s="92">
        <v>0</v>
      </c>
      <c r="L121" s="78">
        <f>SUM(I121:K121)</f>
        <v>76</v>
      </c>
      <c r="M121" s="142" t="s">
        <v>319</v>
      </c>
    </row>
    <row r="122" spans="1:12" s="29" customFormat="1" ht="17.25" customHeight="1">
      <c r="A122" s="301"/>
      <c r="B122" s="296"/>
      <c r="C122" s="293"/>
      <c r="D122" s="286"/>
      <c r="E122" s="289" t="s">
        <v>155</v>
      </c>
      <c r="F122" s="289"/>
      <c r="G122" s="289"/>
      <c r="H122" s="289"/>
      <c r="I122" s="229">
        <f>SUM(I119:I121)</f>
        <v>7576</v>
      </c>
      <c r="J122" s="219">
        <f>SUM(J119:J121)</f>
        <v>0</v>
      </c>
      <c r="K122" s="219">
        <f>SUM(K119:K121)</f>
        <v>0</v>
      </c>
      <c r="L122" s="220">
        <f>SUM(L119:L121)</f>
        <v>7576</v>
      </c>
    </row>
    <row r="123" spans="1:13" s="29" customFormat="1" ht="17.25" customHeight="1">
      <c r="A123" s="299">
        <v>19</v>
      </c>
      <c r="B123" s="294" t="s">
        <v>428</v>
      </c>
      <c r="C123" s="291" t="s">
        <v>427</v>
      </c>
      <c r="D123" s="285" t="s">
        <v>144</v>
      </c>
      <c r="E123" s="9" t="s">
        <v>13</v>
      </c>
      <c r="F123" s="7" t="s">
        <v>22</v>
      </c>
      <c r="G123" s="9" t="s">
        <v>429</v>
      </c>
      <c r="H123" s="7">
        <v>612</v>
      </c>
      <c r="I123" s="92">
        <v>211.5</v>
      </c>
      <c r="J123" s="92">
        <v>0</v>
      </c>
      <c r="K123" s="92">
        <v>0</v>
      </c>
      <c r="L123" s="78">
        <f aca="true" t="shared" si="3" ref="L123:L131">SUM(I123:K123)</f>
        <v>211.5</v>
      </c>
      <c r="M123" s="142" t="s">
        <v>320</v>
      </c>
    </row>
    <row r="124" spans="1:13" s="29" customFormat="1" ht="17.25" customHeight="1">
      <c r="A124" s="300"/>
      <c r="B124" s="295"/>
      <c r="C124" s="292"/>
      <c r="D124" s="290"/>
      <c r="E124" s="9" t="s">
        <v>13</v>
      </c>
      <c r="F124" s="7" t="s">
        <v>22</v>
      </c>
      <c r="G124" s="9" t="s">
        <v>429</v>
      </c>
      <c r="H124" s="7">
        <v>622</v>
      </c>
      <c r="I124" s="92">
        <v>70.5</v>
      </c>
      <c r="J124" s="92">
        <v>0</v>
      </c>
      <c r="K124" s="92">
        <v>0</v>
      </c>
      <c r="L124" s="78">
        <f t="shared" si="3"/>
        <v>70.5</v>
      </c>
      <c r="M124" s="142" t="s">
        <v>320</v>
      </c>
    </row>
    <row r="125" spans="1:13" s="29" customFormat="1" ht="17.25" customHeight="1">
      <c r="A125" s="300"/>
      <c r="B125" s="295"/>
      <c r="C125" s="292"/>
      <c r="D125" s="290"/>
      <c r="E125" s="9" t="s">
        <v>13</v>
      </c>
      <c r="F125" s="7" t="s">
        <v>23</v>
      </c>
      <c r="G125" s="9" t="s">
        <v>429</v>
      </c>
      <c r="H125" s="7">
        <v>612</v>
      </c>
      <c r="I125" s="92">
        <v>52.04</v>
      </c>
      <c r="J125" s="92">
        <v>0</v>
      </c>
      <c r="K125" s="92">
        <v>0</v>
      </c>
      <c r="L125" s="78">
        <f t="shared" si="3"/>
        <v>52.04</v>
      </c>
      <c r="M125" s="142" t="s">
        <v>320</v>
      </c>
    </row>
    <row r="126" spans="1:13" s="29" customFormat="1" ht="17.25" customHeight="1">
      <c r="A126" s="300"/>
      <c r="B126" s="295"/>
      <c r="C126" s="292"/>
      <c r="D126" s="290"/>
      <c r="E126" s="9" t="s">
        <v>13</v>
      </c>
      <c r="F126" s="7" t="s">
        <v>23</v>
      </c>
      <c r="G126" s="9" t="s">
        <v>429</v>
      </c>
      <c r="H126" s="7">
        <v>622</v>
      </c>
      <c r="I126" s="92">
        <v>4.3</v>
      </c>
      <c r="J126" s="92">
        <v>0</v>
      </c>
      <c r="K126" s="92">
        <v>0</v>
      </c>
      <c r="L126" s="78">
        <f t="shared" si="3"/>
        <v>4.3</v>
      </c>
      <c r="M126" s="142" t="s">
        <v>320</v>
      </c>
    </row>
    <row r="127" spans="1:12" s="29" customFormat="1" ht="17.25" customHeight="1">
      <c r="A127" s="300"/>
      <c r="B127" s="295"/>
      <c r="C127" s="292"/>
      <c r="D127" s="290"/>
      <c r="E127" s="289" t="s">
        <v>155</v>
      </c>
      <c r="F127" s="289"/>
      <c r="G127" s="289"/>
      <c r="H127" s="289"/>
      <c r="I127" s="229">
        <f>SUM(I123:I126)</f>
        <v>338.34000000000003</v>
      </c>
      <c r="J127" s="219">
        <f>SUM(J123:J126)</f>
        <v>0</v>
      </c>
      <c r="K127" s="219">
        <f>SUM(K123:K126)</f>
        <v>0</v>
      </c>
      <c r="L127" s="219">
        <f>SUM(L123:L126)</f>
        <v>338.34000000000003</v>
      </c>
    </row>
    <row r="128" spans="1:13" s="29" customFormat="1" ht="17.25" customHeight="1">
      <c r="A128" s="300"/>
      <c r="B128" s="295"/>
      <c r="C128" s="292"/>
      <c r="D128" s="290"/>
      <c r="E128" s="9" t="s">
        <v>13</v>
      </c>
      <c r="F128" s="7" t="s">
        <v>22</v>
      </c>
      <c r="G128" s="9" t="s">
        <v>429</v>
      </c>
      <c r="H128" s="7">
        <v>612</v>
      </c>
      <c r="I128" s="92">
        <v>3</v>
      </c>
      <c r="J128" s="92">
        <v>0</v>
      </c>
      <c r="K128" s="92">
        <v>0</v>
      </c>
      <c r="L128" s="78">
        <f t="shared" si="3"/>
        <v>3</v>
      </c>
      <c r="M128" s="142" t="s">
        <v>319</v>
      </c>
    </row>
    <row r="129" spans="1:13" s="29" customFormat="1" ht="17.25" customHeight="1">
      <c r="A129" s="300"/>
      <c r="B129" s="295"/>
      <c r="C129" s="292"/>
      <c r="D129" s="290"/>
      <c r="E129" s="9" t="s">
        <v>13</v>
      </c>
      <c r="F129" s="7" t="s">
        <v>22</v>
      </c>
      <c r="G129" s="9" t="s">
        <v>429</v>
      </c>
      <c r="H129" s="7">
        <v>622</v>
      </c>
      <c r="I129" s="92">
        <v>1</v>
      </c>
      <c r="J129" s="92">
        <v>0</v>
      </c>
      <c r="K129" s="92">
        <v>0</v>
      </c>
      <c r="L129" s="78">
        <f t="shared" si="3"/>
        <v>1</v>
      </c>
      <c r="M129" s="142" t="s">
        <v>319</v>
      </c>
    </row>
    <row r="130" spans="1:13" s="29" customFormat="1" ht="17.25" customHeight="1">
      <c r="A130" s="300"/>
      <c r="B130" s="295"/>
      <c r="C130" s="292"/>
      <c r="D130" s="290"/>
      <c r="E130" s="9" t="s">
        <v>13</v>
      </c>
      <c r="F130" s="7" t="s">
        <v>23</v>
      </c>
      <c r="G130" s="9" t="s">
        <v>429</v>
      </c>
      <c r="H130" s="7">
        <v>612</v>
      </c>
      <c r="I130" s="92">
        <v>3.21</v>
      </c>
      <c r="J130" s="92">
        <v>0</v>
      </c>
      <c r="K130" s="92">
        <v>0</v>
      </c>
      <c r="L130" s="78">
        <f t="shared" si="3"/>
        <v>3.21</v>
      </c>
      <c r="M130" s="142" t="s">
        <v>319</v>
      </c>
    </row>
    <row r="131" spans="1:13" s="29" customFormat="1" ht="17.25" customHeight="1">
      <c r="A131" s="300"/>
      <c r="B131" s="295"/>
      <c r="C131" s="292"/>
      <c r="D131" s="290"/>
      <c r="E131" s="9" t="s">
        <v>13</v>
      </c>
      <c r="F131" s="7" t="s">
        <v>23</v>
      </c>
      <c r="G131" s="9" t="s">
        <v>429</v>
      </c>
      <c r="H131" s="7">
        <v>622</v>
      </c>
      <c r="I131" s="92">
        <v>1.075</v>
      </c>
      <c r="J131" s="92">
        <v>0</v>
      </c>
      <c r="K131" s="92">
        <v>0</v>
      </c>
      <c r="L131" s="78">
        <f t="shared" si="3"/>
        <v>1.075</v>
      </c>
      <c r="M131" s="142" t="s">
        <v>319</v>
      </c>
    </row>
    <row r="132" spans="1:12" s="29" customFormat="1" ht="17.25" customHeight="1">
      <c r="A132" s="301"/>
      <c r="B132" s="296"/>
      <c r="C132" s="293"/>
      <c r="D132" s="286"/>
      <c r="E132" s="289" t="s">
        <v>155</v>
      </c>
      <c r="F132" s="289"/>
      <c r="G132" s="289"/>
      <c r="H132" s="289"/>
      <c r="I132" s="229">
        <f>SUM(I128:I131)</f>
        <v>8.285</v>
      </c>
      <c r="J132" s="219">
        <f>SUM(J128:J131)</f>
        <v>0</v>
      </c>
      <c r="K132" s="219">
        <f>SUM(K128:K131)</f>
        <v>0</v>
      </c>
      <c r="L132" s="219">
        <f>SUM(L128:L131)</f>
        <v>8.285</v>
      </c>
    </row>
    <row r="133" spans="1:13" s="29" customFormat="1" ht="17.25" customHeight="1">
      <c r="A133" s="299">
        <v>20</v>
      </c>
      <c r="B133" s="294" t="s">
        <v>430</v>
      </c>
      <c r="C133" s="291" t="s">
        <v>336</v>
      </c>
      <c r="D133" s="285"/>
      <c r="E133" s="134" t="s">
        <v>13</v>
      </c>
      <c r="F133" s="134" t="s">
        <v>23</v>
      </c>
      <c r="G133" s="134" t="s">
        <v>335</v>
      </c>
      <c r="H133" s="134" t="s">
        <v>306</v>
      </c>
      <c r="I133" s="70">
        <v>22147.06</v>
      </c>
      <c r="J133" s="70">
        <v>22147.06</v>
      </c>
      <c r="K133" s="70">
        <v>22147.06</v>
      </c>
      <c r="L133" s="135">
        <f>I133+J133+K133</f>
        <v>66441.18000000001</v>
      </c>
      <c r="M133" s="142" t="s">
        <v>318</v>
      </c>
    </row>
    <row r="134" spans="1:13" s="29" customFormat="1" ht="17.25" customHeight="1">
      <c r="A134" s="300"/>
      <c r="B134" s="295"/>
      <c r="C134" s="292"/>
      <c r="D134" s="290"/>
      <c r="E134" s="134" t="s">
        <v>13</v>
      </c>
      <c r="F134" s="134" t="s">
        <v>23</v>
      </c>
      <c r="G134" s="134" t="s">
        <v>335</v>
      </c>
      <c r="H134" s="134" t="s">
        <v>307</v>
      </c>
      <c r="I134" s="70">
        <v>8554.14</v>
      </c>
      <c r="J134" s="70">
        <v>8554.14</v>
      </c>
      <c r="K134" s="70">
        <v>8554.14</v>
      </c>
      <c r="L134" s="135">
        <f>I134+J134+K134</f>
        <v>25662.42</v>
      </c>
      <c r="M134" s="142" t="s">
        <v>318</v>
      </c>
    </row>
    <row r="135" spans="1:12" s="29" customFormat="1" ht="17.25" customHeight="1">
      <c r="A135" s="301"/>
      <c r="B135" s="296"/>
      <c r="C135" s="293"/>
      <c r="D135" s="286"/>
      <c r="E135" s="289" t="s">
        <v>155</v>
      </c>
      <c r="F135" s="289"/>
      <c r="G135" s="289"/>
      <c r="H135" s="289"/>
      <c r="I135" s="229">
        <f>SUM(I133:I134)</f>
        <v>30701.2</v>
      </c>
      <c r="J135" s="219">
        <f>SUM(J133:J134)</f>
        <v>30701.2</v>
      </c>
      <c r="K135" s="219">
        <f>SUM(K133:K134)</f>
        <v>30701.2</v>
      </c>
      <c r="L135" s="219">
        <f>SUM(L133:L134)</f>
        <v>92103.6</v>
      </c>
    </row>
    <row r="136" spans="1:16" s="6" customFormat="1" ht="15.75" customHeight="1">
      <c r="A136" s="307">
        <v>21</v>
      </c>
      <c r="B136" s="305" t="s">
        <v>174</v>
      </c>
      <c r="C136" s="306" t="s">
        <v>173</v>
      </c>
      <c r="D136" s="75" t="s">
        <v>38</v>
      </c>
      <c r="E136" s="32" t="s">
        <v>14</v>
      </c>
      <c r="F136" s="32" t="s">
        <v>14</v>
      </c>
      <c r="G136" s="32" t="s">
        <v>14</v>
      </c>
      <c r="H136" s="32" t="s">
        <v>14</v>
      </c>
      <c r="I136" s="71">
        <f aca="true" t="shared" si="4" ref="I136:O136">I137+I138</f>
        <v>42571.628119999994</v>
      </c>
      <c r="J136" s="71">
        <f t="shared" si="4"/>
        <v>38975.68759999999</v>
      </c>
      <c r="K136" s="71">
        <f t="shared" si="4"/>
        <v>38717.717599999996</v>
      </c>
      <c r="L136" s="71">
        <f>L137+L138</f>
        <v>120265.03332</v>
      </c>
      <c r="M136" s="224">
        <f t="shared" si="4"/>
        <v>37273.93819999999</v>
      </c>
      <c r="N136" s="224">
        <f t="shared" si="4"/>
        <v>35152.97959999999</v>
      </c>
      <c r="O136" s="224">
        <f t="shared" si="4"/>
        <v>34895.0096</v>
      </c>
      <c r="P136" s="113">
        <f>O136+N136+M136</f>
        <v>107321.92739999997</v>
      </c>
    </row>
    <row r="137" spans="1:16" s="16" customFormat="1" ht="30" customHeight="1">
      <c r="A137" s="307"/>
      <c r="B137" s="305"/>
      <c r="C137" s="306"/>
      <c r="D137" s="30" t="s">
        <v>144</v>
      </c>
      <c r="E137" s="31" t="s">
        <v>13</v>
      </c>
      <c r="F137" s="32" t="s">
        <v>14</v>
      </c>
      <c r="G137" s="32" t="s">
        <v>14</v>
      </c>
      <c r="H137" s="32" t="s">
        <v>14</v>
      </c>
      <c r="I137" s="71">
        <f>I143+I146+I152+I153+I157+I162+I165+I168+I154</f>
        <v>41030.18211999999</v>
      </c>
      <c r="J137" s="71">
        <f>J143+J146+J152+J153+J157+J162+J165+J168+J154</f>
        <v>37444.78779999999</v>
      </c>
      <c r="K137" s="71">
        <f>K143+K146+K152+K153+K157+K162+K165+K168+K154</f>
        <v>37186.8178</v>
      </c>
      <c r="L137" s="71">
        <f>L143+L146+L152+L153+L157+L162+L165+L168+L154</f>
        <v>115661.78772000001</v>
      </c>
      <c r="M137" s="233">
        <f>I137-I146-I153-I162-I154</f>
        <v>36137.67019999999</v>
      </c>
      <c r="N137" s="226">
        <f>J137-J146-J153-J162</f>
        <v>34027.25779999999</v>
      </c>
      <c r="O137" s="226">
        <f>K137-K146-K153-K162</f>
        <v>33769.2878</v>
      </c>
      <c r="P137" s="113">
        <f>O137+N137+M137</f>
        <v>103934.21579999998</v>
      </c>
    </row>
    <row r="138" spans="1:16" s="16" customFormat="1" ht="30" customHeight="1">
      <c r="A138" s="307"/>
      <c r="B138" s="305"/>
      <c r="C138" s="306"/>
      <c r="D138" s="30" t="s">
        <v>12</v>
      </c>
      <c r="E138" s="32">
        <v>162</v>
      </c>
      <c r="F138" s="32" t="s">
        <v>14</v>
      </c>
      <c r="G138" s="32" t="s">
        <v>14</v>
      </c>
      <c r="H138" s="32" t="s">
        <v>14</v>
      </c>
      <c r="I138" s="71">
        <f>I155+I158</f>
        <v>1541.446</v>
      </c>
      <c r="J138" s="71">
        <f>J155+J158</f>
        <v>1530.8998000000001</v>
      </c>
      <c r="K138" s="71">
        <f>K155+K158</f>
        <v>1530.8998000000001</v>
      </c>
      <c r="L138" s="71">
        <f>L155+L158</f>
        <v>4603.2456</v>
      </c>
      <c r="M138" s="225">
        <f>I138-I155</f>
        <v>1136.268</v>
      </c>
      <c r="N138" s="225">
        <f>J138-J155</f>
        <v>1125.7218000000003</v>
      </c>
      <c r="O138" s="225">
        <f>K138-K155</f>
        <v>1125.7218000000003</v>
      </c>
      <c r="P138" s="113">
        <f>O138+N138+M138</f>
        <v>3387.7116000000005</v>
      </c>
    </row>
    <row r="139" spans="1:12" s="16" customFormat="1" ht="15.75" customHeight="1">
      <c r="A139" s="299">
        <v>22</v>
      </c>
      <c r="B139" s="294" t="s">
        <v>178</v>
      </c>
      <c r="C139" s="291" t="s">
        <v>180</v>
      </c>
      <c r="D139" s="285" t="s">
        <v>144</v>
      </c>
      <c r="E139" s="9" t="s">
        <v>13</v>
      </c>
      <c r="F139" s="7" t="s">
        <v>237</v>
      </c>
      <c r="G139" s="9" t="s">
        <v>179</v>
      </c>
      <c r="H139" s="7">
        <v>611</v>
      </c>
      <c r="I139" s="92">
        <v>15401.441</v>
      </c>
      <c r="J139" s="92">
        <v>15289.25</v>
      </c>
      <c r="K139" s="92">
        <v>15031.28</v>
      </c>
      <c r="L139" s="78">
        <f>SUM(I139:K139)</f>
        <v>45721.971</v>
      </c>
    </row>
    <row r="140" spans="1:12" s="16" customFormat="1" ht="15.75" customHeight="1">
      <c r="A140" s="300"/>
      <c r="B140" s="295"/>
      <c r="C140" s="292"/>
      <c r="D140" s="290"/>
      <c r="E140" s="9" t="s">
        <v>13</v>
      </c>
      <c r="F140" s="7" t="s">
        <v>237</v>
      </c>
      <c r="G140" s="9" t="s">
        <v>179</v>
      </c>
      <c r="H140" s="15">
        <v>612</v>
      </c>
      <c r="I140" s="92">
        <v>0</v>
      </c>
      <c r="J140" s="92">
        <v>0</v>
      </c>
      <c r="K140" s="92">
        <v>0</v>
      </c>
      <c r="L140" s="78">
        <f>SUM(I140:K140)</f>
        <v>0</v>
      </c>
    </row>
    <row r="141" spans="1:12" s="16" customFormat="1" ht="15.75" customHeight="1">
      <c r="A141" s="300"/>
      <c r="B141" s="295"/>
      <c r="C141" s="292"/>
      <c r="D141" s="290"/>
      <c r="E141" s="9" t="s">
        <v>13</v>
      </c>
      <c r="F141" s="7" t="s">
        <v>20</v>
      </c>
      <c r="G141" s="9" t="s">
        <v>179</v>
      </c>
      <c r="H141" s="15">
        <v>611</v>
      </c>
      <c r="I141" s="92">
        <v>3297.77</v>
      </c>
      <c r="J141" s="92">
        <v>3192.92</v>
      </c>
      <c r="K141" s="92">
        <v>3192.92</v>
      </c>
      <c r="L141" s="78">
        <f>SUM(I141:K141)</f>
        <v>9683.61</v>
      </c>
    </row>
    <row r="142" spans="1:12" s="16" customFormat="1" ht="15.75" customHeight="1">
      <c r="A142" s="300"/>
      <c r="B142" s="295"/>
      <c r="C142" s="292"/>
      <c r="D142" s="290"/>
      <c r="E142" s="9" t="s">
        <v>13</v>
      </c>
      <c r="F142" s="7" t="s">
        <v>20</v>
      </c>
      <c r="G142" s="9" t="s">
        <v>179</v>
      </c>
      <c r="H142" s="15">
        <v>612</v>
      </c>
      <c r="I142" s="92">
        <v>0</v>
      </c>
      <c r="J142" s="92">
        <v>0</v>
      </c>
      <c r="K142" s="92">
        <v>0</v>
      </c>
      <c r="L142" s="78">
        <f>SUM(I142:K142)</f>
        <v>0</v>
      </c>
    </row>
    <row r="143" spans="1:12" s="16" customFormat="1" ht="14.25" customHeight="1">
      <c r="A143" s="300"/>
      <c r="B143" s="295"/>
      <c r="C143" s="292"/>
      <c r="D143" s="290"/>
      <c r="E143" s="289" t="s">
        <v>155</v>
      </c>
      <c r="F143" s="289"/>
      <c r="G143" s="289"/>
      <c r="H143" s="289"/>
      <c r="I143" s="218">
        <f>SUM(I139:I142)</f>
        <v>18699.211</v>
      </c>
      <c r="J143" s="219">
        <f>SUM(J139:J142)</f>
        <v>18482.17</v>
      </c>
      <c r="K143" s="219">
        <f>SUM(K139:K142)</f>
        <v>18224.2</v>
      </c>
      <c r="L143" s="220">
        <f>SUM(L139:L142)</f>
        <v>55405.581</v>
      </c>
    </row>
    <row r="144" spans="1:12" s="6" customFormat="1" ht="15" customHeight="1">
      <c r="A144" s="300"/>
      <c r="B144" s="295"/>
      <c r="C144" s="292"/>
      <c r="D144" s="290"/>
      <c r="E144" s="9" t="s">
        <v>13</v>
      </c>
      <c r="F144" s="7" t="s">
        <v>237</v>
      </c>
      <c r="G144" s="9" t="s">
        <v>260</v>
      </c>
      <c r="H144" s="7" t="s">
        <v>162</v>
      </c>
      <c r="I144" s="92">
        <v>466.948</v>
      </c>
      <c r="J144" s="92">
        <v>459.24</v>
      </c>
      <c r="K144" s="92">
        <v>459.24</v>
      </c>
      <c r="L144" s="78">
        <f>SUM(I144:K144)</f>
        <v>1385.4279999999999</v>
      </c>
    </row>
    <row r="145" spans="1:12" s="6" customFormat="1" ht="15" customHeight="1">
      <c r="A145" s="300"/>
      <c r="B145" s="295"/>
      <c r="C145" s="292"/>
      <c r="D145" s="290"/>
      <c r="E145" s="9" t="s">
        <v>13</v>
      </c>
      <c r="F145" s="7" t="s">
        <v>237</v>
      </c>
      <c r="G145" s="9" t="s">
        <v>260</v>
      </c>
      <c r="H145" s="7" t="s">
        <v>162</v>
      </c>
      <c r="I145" s="92">
        <v>400</v>
      </c>
      <c r="J145" s="92">
        <v>0</v>
      </c>
      <c r="K145" s="92">
        <v>0</v>
      </c>
      <c r="L145" s="78">
        <f>SUM(I145:K145)</f>
        <v>400</v>
      </c>
    </row>
    <row r="146" spans="1:12" s="16" customFormat="1" ht="15.75" customHeight="1">
      <c r="A146" s="301"/>
      <c r="B146" s="296"/>
      <c r="C146" s="293"/>
      <c r="D146" s="286"/>
      <c r="E146" s="322" t="s">
        <v>155</v>
      </c>
      <c r="F146" s="323"/>
      <c r="G146" s="323"/>
      <c r="H146" s="324"/>
      <c r="I146" s="218">
        <f>SUM(I144:I145)</f>
        <v>866.948</v>
      </c>
      <c r="J146" s="171">
        <f>SUM(J144:J145)</f>
        <v>459.24</v>
      </c>
      <c r="K146" s="171">
        <f>SUM(K144:K145)</f>
        <v>459.24</v>
      </c>
      <c r="L146" s="171">
        <f>SUM(L144:L145)</f>
        <v>1785.4279999999999</v>
      </c>
    </row>
    <row r="147" spans="1:12" s="16" customFormat="1" ht="20.25" customHeight="1">
      <c r="A147" s="308">
        <v>23</v>
      </c>
      <c r="B147" s="304" t="s">
        <v>183</v>
      </c>
      <c r="C147" s="297" t="s">
        <v>334</v>
      </c>
      <c r="D147" s="298" t="s">
        <v>144</v>
      </c>
      <c r="E147" s="13" t="s">
        <v>13</v>
      </c>
      <c r="F147" s="15" t="s">
        <v>237</v>
      </c>
      <c r="G147" s="13" t="s">
        <v>333</v>
      </c>
      <c r="H147" s="15">
        <v>611</v>
      </c>
      <c r="I147" s="92">
        <v>10051.36912</v>
      </c>
      <c r="J147" s="92">
        <v>8381.34</v>
      </c>
      <c r="K147" s="92">
        <v>8381.34</v>
      </c>
      <c r="L147" s="179">
        <f>SUM(I147:K147)</f>
        <v>26814.04912</v>
      </c>
    </row>
    <row r="148" spans="1:12" s="16" customFormat="1" ht="20.25" customHeight="1">
      <c r="A148" s="308"/>
      <c r="B148" s="304"/>
      <c r="C148" s="297"/>
      <c r="D148" s="298"/>
      <c r="E148" s="13" t="s">
        <v>13</v>
      </c>
      <c r="F148" s="15" t="s">
        <v>237</v>
      </c>
      <c r="G148" s="13" t="s">
        <v>333</v>
      </c>
      <c r="H148" s="15">
        <v>613</v>
      </c>
      <c r="I148" s="92">
        <v>124.65</v>
      </c>
      <c r="J148" s="92">
        <v>0</v>
      </c>
      <c r="K148" s="92">
        <v>0</v>
      </c>
      <c r="L148" s="179">
        <f>SUM(I148:K148)</f>
        <v>124.65</v>
      </c>
    </row>
    <row r="149" spans="1:12" s="16" customFormat="1" ht="20.25" customHeight="1">
      <c r="A149" s="308"/>
      <c r="B149" s="304"/>
      <c r="C149" s="297"/>
      <c r="D149" s="298"/>
      <c r="E149" s="13" t="s">
        <v>13</v>
      </c>
      <c r="F149" s="15" t="s">
        <v>237</v>
      </c>
      <c r="G149" s="13" t="s">
        <v>333</v>
      </c>
      <c r="H149" s="15">
        <v>623</v>
      </c>
      <c r="I149" s="92">
        <v>83.1</v>
      </c>
      <c r="J149" s="92">
        <v>27.5</v>
      </c>
      <c r="K149" s="92">
        <v>27.5</v>
      </c>
      <c r="L149" s="179">
        <f>SUM(I149:K149)</f>
        <v>138.1</v>
      </c>
    </row>
    <row r="150" spans="1:12" s="16" customFormat="1" ht="20.25" customHeight="1">
      <c r="A150" s="308"/>
      <c r="B150" s="304"/>
      <c r="C150" s="297"/>
      <c r="D150" s="298"/>
      <c r="E150" s="13" t="s">
        <v>13</v>
      </c>
      <c r="F150" s="15" t="s">
        <v>237</v>
      </c>
      <c r="G150" s="13" t="s">
        <v>333</v>
      </c>
      <c r="H150" s="15">
        <v>633</v>
      </c>
      <c r="I150" s="92">
        <v>41.55</v>
      </c>
      <c r="J150" s="92">
        <v>11</v>
      </c>
      <c r="K150" s="92">
        <v>11</v>
      </c>
      <c r="L150" s="179">
        <f>SUM(I150:K150)</f>
        <v>63.55</v>
      </c>
    </row>
    <row r="151" spans="1:12" s="16" customFormat="1" ht="20.25" customHeight="1">
      <c r="A151" s="308"/>
      <c r="B151" s="304"/>
      <c r="C151" s="297"/>
      <c r="D151" s="298"/>
      <c r="E151" s="13" t="s">
        <v>13</v>
      </c>
      <c r="F151" s="15" t="s">
        <v>237</v>
      </c>
      <c r="G151" s="13" t="s">
        <v>333</v>
      </c>
      <c r="H151" s="15">
        <v>813</v>
      </c>
      <c r="I151" s="92">
        <v>31.43088</v>
      </c>
      <c r="J151" s="92">
        <v>9.53</v>
      </c>
      <c r="K151" s="92">
        <v>9.53</v>
      </c>
      <c r="L151" s="179">
        <f>SUM(I151:K151)</f>
        <v>50.49088</v>
      </c>
    </row>
    <row r="152" spans="1:12" s="16" customFormat="1" ht="14.25" customHeight="1">
      <c r="A152" s="308"/>
      <c r="B152" s="304"/>
      <c r="C152" s="297"/>
      <c r="D152" s="298"/>
      <c r="E152" s="289" t="s">
        <v>155</v>
      </c>
      <c r="F152" s="289"/>
      <c r="G152" s="289"/>
      <c r="H152" s="289"/>
      <c r="I152" s="229">
        <f>I151+I147+I148+I149+I150</f>
        <v>10332.099999999999</v>
      </c>
      <c r="J152" s="219">
        <f>J151+J147+J148+J149+J150</f>
        <v>8429.37</v>
      </c>
      <c r="K152" s="219">
        <f>K151+K147+K148+K149+K150</f>
        <v>8429.37</v>
      </c>
      <c r="L152" s="219">
        <f>L151+L147+L148+L149+L150</f>
        <v>27190.84</v>
      </c>
    </row>
    <row r="153" spans="1:12" s="6" customFormat="1" ht="18" customHeight="1">
      <c r="A153" s="299">
        <v>24</v>
      </c>
      <c r="B153" s="294" t="s">
        <v>184</v>
      </c>
      <c r="C153" s="291" t="s">
        <v>258</v>
      </c>
      <c r="D153" s="285" t="s">
        <v>144</v>
      </c>
      <c r="E153" s="14" t="s">
        <v>13</v>
      </c>
      <c r="F153" s="11" t="s">
        <v>20</v>
      </c>
      <c r="G153" s="12" t="s">
        <v>260</v>
      </c>
      <c r="H153" s="11" t="s">
        <v>162</v>
      </c>
      <c r="I153" s="92">
        <v>120.461</v>
      </c>
      <c r="J153" s="92">
        <f>53.071+62.26</f>
        <v>115.33099999999999</v>
      </c>
      <c r="K153" s="92">
        <f>53.071+62.26</f>
        <v>115.33099999999999</v>
      </c>
      <c r="L153" s="78">
        <f>SUM(I153:K153)</f>
        <v>351.12299999999993</v>
      </c>
    </row>
    <row r="154" spans="1:12" s="6" customFormat="1" ht="18" customHeight="1">
      <c r="A154" s="300"/>
      <c r="B154" s="295"/>
      <c r="C154" s="292"/>
      <c r="D154" s="286"/>
      <c r="E154" s="14" t="s">
        <v>13</v>
      </c>
      <c r="F154" s="11" t="s">
        <v>20</v>
      </c>
      <c r="G154" s="12" t="s">
        <v>260</v>
      </c>
      <c r="H154" s="11" t="s">
        <v>162</v>
      </c>
      <c r="I154" s="92">
        <v>23.08092</v>
      </c>
      <c r="J154" s="92">
        <v>0</v>
      </c>
      <c r="K154" s="92">
        <v>0</v>
      </c>
      <c r="L154" s="78">
        <f>SUM(I154:K154)</f>
        <v>23.08092</v>
      </c>
    </row>
    <row r="155" spans="1:12" s="6" customFormat="1" ht="18" customHeight="1">
      <c r="A155" s="300"/>
      <c r="B155" s="295"/>
      <c r="C155" s="292"/>
      <c r="D155" s="288" t="s">
        <v>12</v>
      </c>
      <c r="E155" s="14" t="s">
        <v>182</v>
      </c>
      <c r="F155" s="11" t="s">
        <v>20</v>
      </c>
      <c r="G155" s="12" t="s">
        <v>260</v>
      </c>
      <c r="H155" s="11" t="s">
        <v>162</v>
      </c>
      <c r="I155" s="95">
        <f>178.605+226.573</f>
        <v>405.178</v>
      </c>
      <c r="J155" s="95">
        <f>178.605+226.573</f>
        <v>405.178</v>
      </c>
      <c r="K155" s="95">
        <f>178.605+226.573</f>
        <v>405.178</v>
      </c>
      <c r="L155" s="78">
        <f>SUM(I155:K155)</f>
        <v>1215.534</v>
      </c>
    </row>
    <row r="156" spans="1:12" s="6" customFormat="1" ht="18.75" customHeight="1">
      <c r="A156" s="301"/>
      <c r="B156" s="296"/>
      <c r="C156" s="293"/>
      <c r="D156" s="288"/>
      <c r="E156" s="289" t="s">
        <v>155</v>
      </c>
      <c r="F156" s="289"/>
      <c r="G156" s="289"/>
      <c r="H156" s="289"/>
      <c r="I156" s="218">
        <f>I155+I153+I154</f>
        <v>548.71992</v>
      </c>
      <c r="J156" s="218">
        <f>J155+J153+J154</f>
        <v>520.509</v>
      </c>
      <c r="K156" s="218">
        <f>K155+K153+K154</f>
        <v>520.509</v>
      </c>
      <c r="L156" s="218">
        <f>L155+L153+L154</f>
        <v>1589.7379200000003</v>
      </c>
    </row>
    <row r="157" spans="1:12" s="6" customFormat="1" ht="24.75" customHeight="1">
      <c r="A157" s="303">
        <v>25</v>
      </c>
      <c r="B157" s="287" t="s">
        <v>186</v>
      </c>
      <c r="C157" s="302" t="s">
        <v>70</v>
      </c>
      <c r="D157" s="26" t="s">
        <v>144</v>
      </c>
      <c r="E157" s="14" t="s">
        <v>13</v>
      </c>
      <c r="F157" s="11" t="s">
        <v>20</v>
      </c>
      <c r="G157" s="12" t="s">
        <v>253</v>
      </c>
      <c r="H157" s="11">
        <v>611</v>
      </c>
      <c r="I157" s="92">
        <v>327.8</v>
      </c>
      <c r="J157" s="92">
        <v>327.8</v>
      </c>
      <c r="K157" s="92">
        <v>327.8</v>
      </c>
      <c r="L157" s="78">
        <f>SUM(I157:K157)</f>
        <v>983.4000000000001</v>
      </c>
    </row>
    <row r="158" spans="1:12" s="6" customFormat="1" ht="31.5" customHeight="1">
      <c r="A158" s="303"/>
      <c r="B158" s="287"/>
      <c r="C158" s="302"/>
      <c r="D158" s="26" t="s">
        <v>12</v>
      </c>
      <c r="E158" s="14" t="s">
        <v>182</v>
      </c>
      <c r="F158" s="11" t="s">
        <v>20</v>
      </c>
      <c r="G158" s="12" t="s">
        <v>253</v>
      </c>
      <c r="H158" s="11">
        <v>611</v>
      </c>
      <c r="I158" s="92">
        <v>1136.268</v>
      </c>
      <c r="J158" s="92">
        <v>1125.7218</v>
      </c>
      <c r="K158" s="92">
        <v>1125.7218</v>
      </c>
      <c r="L158" s="78">
        <f>SUM(I158:K158)</f>
        <v>3387.7116000000005</v>
      </c>
    </row>
    <row r="159" spans="1:12" s="6" customFormat="1" ht="18.75" customHeight="1">
      <c r="A159" s="303"/>
      <c r="B159" s="287"/>
      <c r="C159" s="302"/>
      <c r="D159" s="26"/>
      <c r="E159" s="289" t="s">
        <v>155</v>
      </c>
      <c r="F159" s="289"/>
      <c r="G159" s="289"/>
      <c r="H159" s="289"/>
      <c r="I159" s="218">
        <f>I158+I157</f>
        <v>1464.068</v>
      </c>
      <c r="J159" s="219">
        <f>J158+J157</f>
        <v>1453.5218</v>
      </c>
      <c r="K159" s="219">
        <f>K158+K157</f>
        <v>1453.5218</v>
      </c>
      <c r="L159" s="220">
        <f>L158+L157</f>
        <v>4371.1116</v>
      </c>
    </row>
    <row r="160" spans="1:12" s="6" customFormat="1" ht="21.75" customHeight="1">
      <c r="A160" s="303">
        <v>26</v>
      </c>
      <c r="B160" s="287" t="s">
        <v>239</v>
      </c>
      <c r="C160" s="302" t="s">
        <v>259</v>
      </c>
      <c r="D160" s="288" t="s">
        <v>144</v>
      </c>
      <c r="E160" s="14" t="s">
        <v>13</v>
      </c>
      <c r="F160" s="7" t="s">
        <v>20</v>
      </c>
      <c r="G160" s="9" t="s">
        <v>260</v>
      </c>
      <c r="H160" s="7" t="s">
        <v>162</v>
      </c>
      <c r="I160" s="92">
        <v>3882.022</v>
      </c>
      <c r="J160" s="92">
        <v>2842.959</v>
      </c>
      <c r="K160" s="92">
        <v>2842.959</v>
      </c>
      <c r="L160" s="78">
        <f>SUM(I160:K160)</f>
        <v>9567.939999999999</v>
      </c>
    </row>
    <row r="161" spans="1:12" s="6" customFormat="1" ht="15.75" customHeight="1">
      <c r="A161" s="303"/>
      <c r="B161" s="287"/>
      <c r="C161" s="302"/>
      <c r="D161" s="288"/>
      <c r="E161" s="7"/>
      <c r="F161" s="7"/>
      <c r="G161" s="9"/>
      <c r="H161" s="7"/>
      <c r="I161" s="92"/>
      <c r="J161" s="92"/>
      <c r="K161" s="92"/>
      <c r="L161" s="78">
        <f>SUM(I161:K161)</f>
        <v>0</v>
      </c>
    </row>
    <row r="162" spans="1:12" s="6" customFormat="1" ht="16.5" customHeight="1">
      <c r="A162" s="303"/>
      <c r="B162" s="287"/>
      <c r="C162" s="302"/>
      <c r="D162" s="288"/>
      <c r="E162" s="289" t="s">
        <v>155</v>
      </c>
      <c r="F162" s="289"/>
      <c r="G162" s="289"/>
      <c r="H162" s="289"/>
      <c r="I162" s="218">
        <f>I161+I160</f>
        <v>3882.022</v>
      </c>
      <c r="J162" s="171">
        <f>J161+J160</f>
        <v>2842.959</v>
      </c>
      <c r="K162" s="171">
        <f>K161+K160</f>
        <v>2842.959</v>
      </c>
      <c r="L162" s="172">
        <f>L161+L160</f>
        <v>9567.939999999999</v>
      </c>
    </row>
    <row r="163" spans="1:15" s="6" customFormat="1" ht="19.5" customHeight="1">
      <c r="A163" s="303">
        <v>27</v>
      </c>
      <c r="B163" s="287" t="s">
        <v>187</v>
      </c>
      <c r="C163" s="302" t="s">
        <v>185</v>
      </c>
      <c r="D163" s="288" t="s">
        <v>144</v>
      </c>
      <c r="E163" s="14" t="s">
        <v>13</v>
      </c>
      <c r="F163" s="7" t="s">
        <v>20</v>
      </c>
      <c r="G163" s="9" t="s">
        <v>253</v>
      </c>
      <c r="H163" s="7">
        <v>611</v>
      </c>
      <c r="I163" s="92">
        <f>6264+81.2-9.3408</f>
        <v>6335.8592</v>
      </c>
      <c r="J163" s="92">
        <f>6264+81.2+0.0178</f>
        <v>6345.217799999999</v>
      </c>
      <c r="K163" s="92">
        <f>6264+81.2+0.0178</f>
        <v>6345.217799999999</v>
      </c>
      <c r="L163" s="78">
        <f>SUM(I163:K163)</f>
        <v>19026.2948</v>
      </c>
      <c r="M163" s="137">
        <f>I165+I157</f>
        <v>6663.6592</v>
      </c>
      <c r="N163" s="137">
        <f>J165+J157</f>
        <v>6673.0178</v>
      </c>
      <c r="O163" s="137">
        <f>K165+K157</f>
        <v>6673.0178</v>
      </c>
    </row>
    <row r="164" spans="1:13" s="6" customFormat="1" ht="11.25" customHeight="1">
      <c r="A164" s="303"/>
      <c r="B164" s="287"/>
      <c r="C164" s="302"/>
      <c r="D164" s="288"/>
      <c r="E164" s="7"/>
      <c r="F164" s="7"/>
      <c r="G164" s="9"/>
      <c r="H164" s="7"/>
      <c r="I164" s="70"/>
      <c r="J164" s="70"/>
      <c r="K164" s="70"/>
      <c r="L164" s="78">
        <f>SUM(I164:K164)</f>
        <v>0</v>
      </c>
      <c r="M164" s="137"/>
    </row>
    <row r="165" spans="1:12" s="6" customFormat="1" ht="15.75" customHeight="1">
      <c r="A165" s="303"/>
      <c r="B165" s="287"/>
      <c r="C165" s="302"/>
      <c r="D165" s="288"/>
      <c r="E165" s="289" t="s">
        <v>155</v>
      </c>
      <c r="F165" s="289"/>
      <c r="G165" s="289"/>
      <c r="H165" s="289"/>
      <c r="I165" s="229">
        <f>I164+I163</f>
        <v>6335.8592</v>
      </c>
      <c r="J165" s="219">
        <f>J164+J163</f>
        <v>6345.217799999999</v>
      </c>
      <c r="K165" s="219">
        <f>K164+K163</f>
        <v>6345.217799999999</v>
      </c>
      <c r="L165" s="220">
        <f>L164+L163</f>
        <v>19026.2948</v>
      </c>
    </row>
    <row r="166" spans="1:13" s="6" customFormat="1" ht="60" customHeight="1">
      <c r="A166" s="303">
        <v>28</v>
      </c>
      <c r="B166" s="287" t="s">
        <v>188</v>
      </c>
      <c r="C166" s="302" t="s">
        <v>189</v>
      </c>
      <c r="D166" s="288" t="s">
        <v>144</v>
      </c>
      <c r="E166" s="136" t="s">
        <v>13</v>
      </c>
      <c r="F166" s="11" t="s">
        <v>20</v>
      </c>
      <c r="G166" s="12" t="s">
        <v>317</v>
      </c>
      <c r="H166" s="11">
        <v>611</v>
      </c>
      <c r="I166" s="96">
        <v>442.2</v>
      </c>
      <c r="J166" s="96">
        <v>442.2</v>
      </c>
      <c r="K166" s="96">
        <v>442.2</v>
      </c>
      <c r="L166" s="141">
        <f>SUM(I166:K166)</f>
        <v>1326.6</v>
      </c>
      <c r="M166" s="143" t="s">
        <v>320</v>
      </c>
    </row>
    <row r="167" spans="1:13" s="6" customFormat="1" ht="51" customHeight="1">
      <c r="A167" s="303"/>
      <c r="B167" s="287"/>
      <c r="C167" s="302"/>
      <c r="D167" s="288"/>
      <c r="E167" s="136" t="s">
        <v>13</v>
      </c>
      <c r="F167" s="11" t="s">
        <v>20</v>
      </c>
      <c r="G167" s="12" t="s">
        <v>317</v>
      </c>
      <c r="H167" s="11">
        <v>611</v>
      </c>
      <c r="I167" s="96">
        <v>0.5</v>
      </c>
      <c r="J167" s="96">
        <v>0.5</v>
      </c>
      <c r="K167" s="96">
        <v>0.5</v>
      </c>
      <c r="L167" s="141">
        <f>SUM(I167:K167)</f>
        <v>1.5</v>
      </c>
      <c r="M167" s="143" t="s">
        <v>319</v>
      </c>
    </row>
    <row r="168" spans="1:12" s="29" customFormat="1" ht="17.25" customHeight="1">
      <c r="A168" s="303"/>
      <c r="B168" s="287"/>
      <c r="C168" s="302"/>
      <c r="D168" s="288"/>
      <c r="E168" s="309" t="s">
        <v>155</v>
      </c>
      <c r="F168" s="309"/>
      <c r="G168" s="309"/>
      <c r="H168" s="309"/>
      <c r="I168" s="229">
        <f>I167+I166</f>
        <v>442.7</v>
      </c>
      <c r="J168" s="219">
        <f>J167+J166</f>
        <v>442.7</v>
      </c>
      <c r="K168" s="219">
        <f>K167+K166</f>
        <v>442.7</v>
      </c>
      <c r="L168" s="220">
        <f>L167+L166</f>
        <v>1328.1</v>
      </c>
    </row>
    <row r="169" spans="1:12" s="6" customFormat="1" ht="17.25" customHeight="1">
      <c r="A169" s="307">
        <v>29</v>
      </c>
      <c r="B169" s="305" t="s">
        <v>191</v>
      </c>
      <c r="C169" s="306" t="s">
        <v>190</v>
      </c>
      <c r="D169" s="75" t="s">
        <v>38</v>
      </c>
      <c r="E169" s="32" t="s">
        <v>14</v>
      </c>
      <c r="F169" s="32" t="s">
        <v>14</v>
      </c>
      <c r="G169" s="32" t="s">
        <v>14</v>
      </c>
      <c r="H169" s="32" t="s">
        <v>14</v>
      </c>
      <c r="I169" s="71">
        <f>I170+I171</f>
        <v>21002.59474</v>
      </c>
      <c r="J169" s="71">
        <f>J170+J171</f>
        <v>26230.600000000002</v>
      </c>
      <c r="K169" s="71">
        <f>K170+K171</f>
        <v>19855.1</v>
      </c>
      <c r="L169" s="79">
        <f aca="true" t="shared" si="5" ref="L169:L175">SUM(I169:K169)</f>
        <v>67088.29474000001</v>
      </c>
    </row>
    <row r="170" spans="1:12" s="16" customFormat="1" ht="27" customHeight="1">
      <c r="A170" s="307"/>
      <c r="B170" s="305"/>
      <c r="C170" s="306"/>
      <c r="D170" s="30" t="s">
        <v>144</v>
      </c>
      <c r="E170" s="31" t="s">
        <v>13</v>
      </c>
      <c r="F170" s="32" t="s">
        <v>14</v>
      </c>
      <c r="G170" s="32" t="s">
        <v>14</v>
      </c>
      <c r="H170" s="32" t="s">
        <v>14</v>
      </c>
      <c r="I170" s="71">
        <f>I176</f>
        <v>4836.200000000001</v>
      </c>
      <c r="J170" s="71">
        <f>J176</f>
        <v>4836.2</v>
      </c>
      <c r="K170" s="71">
        <f>K176</f>
        <v>4836.2</v>
      </c>
      <c r="L170" s="79">
        <f t="shared" si="5"/>
        <v>14508.600000000002</v>
      </c>
    </row>
    <row r="171" spans="1:12" s="16" customFormat="1" ht="23.25" customHeight="1">
      <c r="A171" s="307"/>
      <c r="B171" s="305"/>
      <c r="C171" s="306"/>
      <c r="D171" s="30" t="s">
        <v>12</v>
      </c>
      <c r="E171" s="32">
        <v>162</v>
      </c>
      <c r="F171" s="32" t="s">
        <v>14</v>
      </c>
      <c r="G171" s="32" t="s">
        <v>14</v>
      </c>
      <c r="H171" s="32" t="s">
        <v>14</v>
      </c>
      <c r="I171" s="71">
        <f>I177+I179+I178</f>
        <v>16166.39474</v>
      </c>
      <c r="J171" s="71">
        <f>J177+J179+J178</f>
        <v>21394.4</v>
      </c>
      <c r="K171" s="71">
        <f>K177+K179+K178</f>
        <v>15018.9</v>
      </c>
      <c r="L171" s="71">
        <f>L177+L179+L178</f>
        <v>52579.69474</v>
      </c>
    </row>
    <row r="172" spans="1:12" s="6" customFormat="1" ht="17.25" customHeight="1">
      <c r="A172" s="303">
        <v>30</v>
      </c>
      <c r="B172" s="287" t="s">
        <v>195</v>
      </c>
      <c r="C172" s="302" t="s">
        <v>192</v>
      </c>
      <c r="D172" s="288" t="s">
        <v>144</v>
      </c>
      <c r="E172" s="9" t="s">
        <v>13</v>
      </c>
      <c r="F172" s="12" t="s">
        <v>19</v>
      </c>
      <c r="G172" s="12" t="s">
        <v>193</v>
      </c>
      <c r="H172" s="11">
        <v>121</v>
      </c>
      <c r="I172" s="92">
        <v>3183.4</v>
      </c>
      <c r="J172" s="92">
        <v>3183.4</v>
      </c>
      <c r="K172" s="92">
        <v>3183.4</v>
      </c>
      <c r="L172" s="78">
        <f t="shared" si="5"/>
        <v>9550.2</v>
      </c>
    </row>
    <row r="173" spans="1:12" s="6" customFormat="1" ht="17.25" customHeight="1">
      <c r="A173" s="303"/>
      <c r="B173" s="287"/>
      <c r="C173" s="302"/>
      <c r="D173" s="288"/>
      <c r="E173" s="9" t="s">
        <v>13</v>
      </c>
      <c r="F173" s="12" t="s">
        <v>19</v>
      </c>
      <c r="G173" s="12" t="s">
        <v>193</v>
      </c>
      <c r="H173" s="7">
        <v>122</v>
      </c>
      <c r="I173" s="92">
        <v>3.7226</v>
      </c>
      <c r="J173" s="92">
        <v>0</v>
      </c>
      <c r="K173" s="92">
        <v>0</v>
      </c>
      <c r="L173" s="78">
        <f>SUM(I173:K173)</f>
        <v>3.7226</v>
      </c>
    </row>
    <row r="174" spans="1:12" s="6" customFormat="1" ht="21" customHeight="1">
      <c r="A174" s="303"/>
      <c r="B174" s="287"/>
      <c r="C174" s="302"/>
      <c r="D174" s="288"/>
      <c r="E174" s="9" t="s">
        <v>13</v>
      </c>
      <c r="F174" s="12" t="s">
        <v>19</v>
      </c>
      <c r="G174" s="12" t="s">
        <v>193</v>
      </c>
      <c r="H174" s="7">
        <v>129</v>
      </c>
      <c r="I174" s="92">
        <v>961.4</v>
      </c>
      <c r="J174" s="92">
        <v>961.4</v>
      </c>
      <c r="K174" s="92">
        <v>961.4</v>
      </c>
      <c r="L174" s="78">
        <f t="shared" si="5"/>
        <v>2884.2</v>
      </c>
    </row>
    <row r="175" spans="1:12" s="6" customFormat="1" ht="20.25" customHeight="1">
      <c r="A175" s="303"/>
      <c r="B175" s="287"/>
      <c r="C175" s="302"/>
      <c r="D175" s="288"/>
      <c r="E175" s="13" t="s">
        <v>13</v>
      </c>
      <c r="F175" s="14" t="s">
        <v>19</v>
      </c>
      <c r="G175" s="12" t="s">
        <v>193</v>
      </c>
      <c r="H175" s="15">
        <v>244</v>
      </c>
      <c r="I175" s="92">
        <v>687.6774</v>
      </c>
      <c r="J175" s="92">
        <v>691.4</v>
      </c>
      <c r="K175" s="92">
        <v>691.4</v>
      </c>
      <c r="L175" s="78">
        <f t="shared" si="5"/>
        <v>2070.4774</v>
      </c>
    </row>
    <row r="176" spans="1:12" s="6" customFormat="1" ht="15.75" customHeight="1">
      <c r="A176" s="303"/>
      <c r="B176" s="287"/>
      <c r="C176" s="302"/>
      <c r="D176" s="288"/>
      <c r="E176" s="309" t="s">
        <v>155</v>
      </c>
      <c r="F176" s="309"/>
      <c r="G176" s="309"/>
      <c r="H176" s="309"/>
      <c r="I176" s="218">
        <f>SUM(I172:I175)</f>
        <v>4836.200000000001</v>
      </c>
      <c r="J176" s="219">
        <f>SUM(J172:J175)</f>
        <v>4836.2</v>
      </c>
      <c r="K176" s="219">
        <f>SUM(K172:K175)</f>
        <v>4836.2</v>
      </c>
      <c r="L176" s="220">
        <f>SUM(L172:L175)</f>
        <v>14508.599999999999</v>
      </c>
    </row>
    <row r="177" spans="1:13" s="29" customFormat="1" ht="21.75" customHeight="1">
      <c r="A177" s="303">
        <v>31</v>
      </c>
      <c r="B177" s="287" t="s">
        <v>312</v>
      </c>
      <c r="C177" s="302" t="s">
        <v>248</v>
      </c>
      <c r="D177" s="288" t="s">
        <v>12</v>
      </c>
      <c r="E177" s="11">
        <v>162</v>
      </c>
      <c r="F177" s="12" t="s">
        <v>21</v>
      </c>
      <c r="G177" s="12" t="s">
        <v>337</v>
      </c>
      <c r="H177" s="11">
        <v>412</v>
      </c>
      <c r="I177" s="92">
        <v>0</v>
      </c>
      <c r="J177" s="92">
        <v>3889.9</v>
      </c>
      <c r="K177" s="92">
        <v>8448.1</v>
      </c>
      <c r="L177" s="78">
        <f>SUM(I177:K177)</f>
        <v>12338</v>
      </c>
      <c r="M177" s="142" t="s">
        <v>320</v>
      </c>
    </row>
    <row r="178" spans="1:13" s="29" customFormat="1" ht="21.75" customHeight="1">
      <c r="A178" s="303"/>
      <c r="B178" s="287"/>
      <c r="C178" s="302"/>
      <c r="D178" s="288"/>
      <c r="E178" s="11">
        <v>162</v>
      </c>
      <c r="F178" s="12" t="s">
        <v>21</v>
      </c>
      <c r="G178" s="12" t="s">
        <v>194</v>
      </c>
      <c r="H178" s="11">
        <v>412</v>
      </c>
      <c r="I178" s="92">
        <v>4041.59868</v>
      </c>
      <c r="J178" s="92">
        <v>5076.30745</v>
      </c>
      <c r="K178" s="92">
        <v>1905.53292</v>
      </c>
      <c r="L178" s="78">
        <f>SUM(I178:K178)</f>
        <v>11023.439049999999</v>
      </c>
      <c r="M178" s="142" t="s">
        <v>320</v>
      </c>
    </row>
    <row r="179" spans="1:13" s="29" customFormat="1" ht="21.75" customHeight="1">
      <c r="A179" s="303"/>
      <c r="B179" s="287"/>
      <c r="C179" s="302"/>
      <c r="D179" s="288"/>
      <c r="E179" s="11">
        <v>162</v>
      </c>
      <c r="F179" s="12" t="s">
        <v>21</v>
      </c>
      <c r="G179" s="12" t="s">
        <v>194</v>
      </c>
      <c r="H179" s="11">
        <v>412</v>
      </c>
      <c r="I179" s="92">
        <v>12124.79606</v>
      </c>
      <c r="J179" s="92">
        <v>12428.19255</v>
      </c>
      <c r="K179" s="92">
        <v>4665.26708</v>
      </c>
      <c r="L179" s="78">
        <f>SUM(I179:K179)</f>
        <v>29218.255689999998</v>
      </c>
      <c r="M179" s="142" t="s">
        <v>318</v>
      </c>
    </row>
    <row r="180" spans="1:12" s="6" customFormat="1" ht="21.75" customHeight="1">
      <c r="A180" s="303"/>
      <c r="B180" s="287"/>
      <c r="C180" s="302"/>
      <c r="D180" s="288"/>
      <c r="E180" s="309" t="s">
        <v>155</v>
      </c>
      <c r="F180" s="309"/>
      <c r="G180" s="309"/>
      <c r="H180" s="309"/>
      <c r="I180" s="218">
        <f>I177+I179+I178</f>
        <v>16166.39474</v>
      </c>
      <c r="J180" s="219">
        <f>J177+J179+J178</f>
        <v>21394.4</v>
      </c>
      <c r="K180" s="219">
        <f>K177+K179+K178</f>
        <v>15018.9</v>
      </c>
      <c r="L180" s="219">
        <f>L177+L179+L178</f>
        <v>52579.69474</v>
      </c>
    </row>
    <row r="181" spans="1:12" s="6" customFormat="1" ht="12.75" customHeight="1">
      <c r="A181" s="307">
        <v>32</v>
      </c>
      <c r="B181" s="305" t="s">
        <v>197</v>
      </c>
      <c r="C181" s="306" t="s">
        <v>196</v>
      </c>
      <c r="D181" s="75" t="s">
        <v>38</v>
      </c>
      <c r="E181" s="32" t="s">
        <v>14</v>
      </c>
      <c r="F181" s="32" t="s">
        <v>14</v>
      </c>
      <c r="G181" s="32" t="s">
        <v>14</v>
      </c>
      <c r="H181" s="32" t="s">
        <v>14</v>
      </c>
      <c r="I181" s="71">
        <f>I182+I183</f>
        <v>47713.55715</v>
      </c>
      <c r="J181" s="71">
        <f>J182+J183</f>
        <v>47294.69039999999</v>
      </c>
      <c r="K181" s="71">
        <f>K182+K183</f>
        <v>46852.47816</v>
      </c>
      <c r="L181" s="71">
        <f>L182+L183</f>
        <v>141860.72570999997</v>
      </c>
    </row>
    <row r="182" spans="1:12" s="6" customFormat="1" ht="26.25" customHeight="1">
      <c r="A182" s="307"/>
      <c r="B182" s="305"/>
      <c r="C182" s="306"/>
      <c r="D182" s="30" t="s">
        <v>144</v>
      </c>
      <c r="E182" s="31" t="s">
        <v>13</v>
      </c>
      <c r="F182" s="32" t="s">
        <v>14</v>
      </c>
      <c r="G182" s="32" t="s">
        <v>14</v>
      </c>
      <c r="H182" s="32" t="s">
        <v>14</v>
      </c>
      <c r="I182" s="71">
        <f>I189+I192+I199+I203</f>
        <v>47713.55715</v>
      </c>
      <c r="J182" s="71">
        <f>J189+J192+J199+J203</f>
        <v>47294.69039999999</v>
      </c>
      <c r="K182" s="71">
        <f>K189+K192+K199+K203</f>
        <v>46852.47816</v>
      </c>
      <c r="L182" s="71">
        <f>L189+L192+L199+L203</f>
        <v>141860.72570999997</v>
      </c>
    </row>
    <row r="183" spans="1:12" s="6" customFormat="1" ht="26.25" customHeight="1">
      <c r="A183" s="307"/>
      <c r="B183" s="305"/>
      <c r="C183" s="306"/>
      <c r="D183" s="30" t="s">
        <v>12</v>
      </c>
      <c r="E183" s="32">
        <v>162</v>
      </c>
      <c r="F183" s="32" t="s">
        <v>14</v>
      </c>
      <c r="G183" s="32" t="s">
        <v>14</v>
      </c>
      <c r="H183" s="32" t="s">
        <v>14</v>
      </c>
      <c r="I183" s="71">
        <v>0</v>
      </c>
      <c r="J183" s="71">
        <v>0</v>
      </c>
      <c r="K183" s="71">
        <v>0</v>
      </c>
      <c r="L183" s="71">
        <v>0</v>
      </c>
    </row>
    <row r="184" spans="1:12" s="6" customFormat="1" ht="12.75" customHeight="1">
      <c r="A184" s="287">
        <v>33</v>
      </c>
      <c r="B184" s="287" t="s">
        <v>201</v>
      </c>
      <c r="C184" s="310" t="s">
        <v>198</v>
      </c>
      <c r="D184" s="288" t="s">
        <v>144</v>
      </c>
      <c r="E184" s="9" t="s">
        <v>13</v>
      </c>
      <c r="F184" s="12" t="s">
        <v>19</v>
      </c>
      <c r="G184" s="12" t="s">
        <v>199</v>
      </c>
      <c r="H184" s="11">
        <v>121</v>
      </c>
      <c r="I184" s="95">
        <v>5081.013</v>
      </c>
      <c r="J184" s="95">
        <v>5021.39</v>
      </c>
      <c r="K184" s="95">
        <v>5021.39</v>
      </c>
      <c r="L184" s="78">
        <f>SUM(I184:K184)</f>
        <v>15123.793000000001</v>
      </c>
    </row>
    <row r="185" spans="1:12" s="6" customFormat="1" ht="15.75" customHeight="1">
      <c r="A185" s="287"/>
      <c r="B185" s="287"/>
      <c r="C185" s="310"/>
      <c r="D185" s="288"/>
      <c r="E185" s="9" t="s">
        <v>13</v>
      </c>
      <c r="F185" s="12" t="s">
        <v>19</v>
      </c>
      <c r="G185" s="12" t="s">
        <v>199</v>
      </c>
      <c r="H185" s="11">
        <v>122</v>
      </c>
      <c r="I185" s="95">
        <v>19.3322</v>
      </c>
      <c r="J185" s="95">
        <v>7.8</v>
      </c>
      <c r="K185" s="95">
        <v>7.8</v>
      </c>
      <c r="L185" s="78">
        <f>SUM(I185:K185)</f>
        <v>34.9322</v>
      </c>
    </row>
    <row r="186" spans="1:12" s="6" customFormat="1" ht="12.75" customHeight="1">
      <c r="A186" s="287"/>
      <c r="B186" s="287"/>
      <c r="C186" s="310"/>
      <c r="D186" s="288"/>
      <c r="E186" s="9" t="s">
        <v>13</v>
      </c>
      <c r="F186" s="12" t="s">
        <v>19</v>
      </c>
      <c r="G186" s="12" t="s">
        <v>199</v>
      </c>
      <c r="H186" s="11">
        <v>129</v>
      </c>
      <c r="I186" s="95">
        <v>1534.467</v>
      </c>
      <c r="J186" s="95">
        <v>1516.49</v>
      </c>
      <c r="K186" s="95">
        <v>1516.49</v>
      </c>
      <c r="L186" s="78">
        <f>SUM(I186:K186)</f>
        <v>4567.447</v>
      </c>
    </row>
    <row r="187" spans="1:12" s="6" customFormat="1" ht="12.75" customHeight="1">
      <c r="A187" s="287"/>
      <c r="B187" s="287"/>
      <c r="C187" s="310"/>
      <c r="D187" s="288"/>
      <c r="E187" s="9" t="s">
        <v>13</v>
      </c>
      <c r="F187" s="12" t="s">
        <v>19</v>
      </c>
      <c r="G187" s="12" t="s">
        <v>199</v>
      </c>
      <c r="H187" s="11">
        <v>244</v>
      </c>
      <c r="I187" s="95">
        <v>821.14346</v>
      </c>
      <c r="J187" s="95">
        <v>862.17066</v>
      </c>
      <c r="K187" s="95">
        <v>862.17066</v>
      </c>
      <c r="L187" s="78">
        <f>SUM(I187:K187)</f>
        <v>2545.48478</v>
      </c>
    </row>
    <row r="188" spans="1:12" s="6" customFormat="1" ht="12.75" customHeight="1">
      <c r="A188" s="287"/>
      <c r="B188" s="287"/>
      <c r="C188" s="310"/>
      <c r="D188" s="288"/>
      <c r="E188" s="9" t="s">
        <v>13</v>
      </c>
      <c r="F188" s="12" t="s">
        <v>19</v>
      </c>
      <c r="G188" s="12" t="s">
        <v>199</v>
      </c>
      <c r="H188" s="11">
        <v>247</v>
      </c>
      <c r="I188" s="95">
        <v>972.70734</v>
      </c>
      <c r="J188" s="95">
        <v>950.49974</v>
      </c>
      <c r="K188" s="95">
        <v>508.2875</v>
      </c>
      <c r="L188" s="78">
        <f>SUM(I188:K188)</f>
        <v>2431.49458</v>
      </c>
    </row>
    <row r="189" spans="1:12" s="6" customFormat="1" ht="12.75" customHeight="1">
      <c r="A189" s="287"/>
      <c r="B189" s="287"/>
      <c r="C189" s="310"/>
      <c r="D189" s="288"/>
      <c r="E189" s="309" t="s">
        <v>155</v>
      </c>
      <c r="F189" s="309"/>
      <c r="G189" s="309"/>
      <c r="H189" s="309"/>
      <c r="I189" s="218">
        <f>SUM(I184:I188)</f>
        <v>8428.663</v>
      </c>
      <c r="J189" s="219">
        <f>SUM(J184:J188)</f>
        <v>8358.3504</v>
      </c>
      <c r="K189" s="219">
        <f>SUM(K184:K188)</f>
        <v>7916.13816</v>
      </c>
      <c r="L189" s="220">
        <f>SUM(L184:L188)</f>
        <v>24703.15156</v>
      </c>
    </row>
    <row r="190" spans="1:12" s="6" customFormat="1" ht="19.5" customHeight="1">
      <c r="A190" s="287">
        <v>34</v>
      </c>
      <c r="B190" s="287" t="s">
        <v>202</v>
      </c>
      <c r="C190" s="310" t="s">
        <v>431</v>
      </c>
      <c r="D190" s="288" t="s">
        <v>144</v>
      </c>
      <c r="E190" s="9" t="s">
        <v>13</v>
      </c>
      <c r="F190" s="7" t="s">
        <v>20</v>
      </c>
      <c r="G190" s="9" t="s">
        <v>238</v>
      </c>
      <c r="H190" s="7">
        <v>244</v>
      </c>
      <c r="I190" s="92">
        <v>31.6</v>
      </c>
      <c r="J190" s="92">
        <v>31.6</v>
      </c>
      <c r="K190" s="92">
        <v>31.6</v>
      </c>
      <c r="L190" s="78">
        <f>SUM(I190:K190)</f>
        <v>94.80000000000001</v>
      </c>
    </row>
    <row r="191" spans="1:12" s="6" customFormat="1" ht="19.5" customHeight="1">
      <c r="A191" s="287"/>
      <c r="B191" s="287"/>
      <c r="C191" s="310"/>
      <c r="D191" s="288"/>
      <c r="E191" s="9" t="s">
        <v>13</v>
      </c>
      <c r="F191" s="7" t="s">
        <v>20</v>
      </c>
      <c r="G191" s="9" t="s">
        <v>238</v>
      </c>
      <c r="H191" s="7">
        <v>350</v>
      </c>
      <c r="I191" s="92">
        <v>37.8</v>
      </c>
      <c r="J191" s="92">
        <v>37.8</v>
      </c>
      <c r="K191" s="92">
        <v>37.8</v>
      </c>
      <c r="L191" s="78">
        <f>SUM(I191:K191)</f>
        <v>113.39999999999999</v>
      </c>
    </row>
    <row r="192" spans="1:12" s="6" customFormat="1" ht="12.75" customHeight="1">
      <c r="A192" s="287"/>
      <c r="B192" s="287"/>
      <c r="C192" s="310"/>
      <c r="D192" s="288"/>
      <c r="E192" s="309" t="s">
        <v>155</v>
      </c>
      <c r="F192" s="309"/>
      <c r="G192" s="309"/>
      <c r="H192" s="309"/>
      <c r="I192" s="218">
        <f>I191+I190</f>
        <v>69.4</v>
      </c>
      <c r="J192" s="219">
        <f>J191+J190</f>
        <v>69.4</v>
      </c>
      <c r="K192" s="219">
        <f>K191+K190</f>
        <v>69.4</v>
      </c>
      <c r="L192" s="220">
        <f>L191+L190</f>
        <v>208.2</v>
      </c>
    </row>
    <row r="193" spans="1:12" s="6" customFormat="1" ht="12.75" customHeight="1">
      <c r="A193" s="303">
        <v>35</v>
      </c>
      <c r="B193" s="287" t="s">
        <v>254</v>
      </c>
      <c r="C193" s="310" t="s">
        <v>114</v>
      </c>
      <c r="D193" s="288" t="s">
        <v>144</v>
      </c>
      <c r="E193" s="9" t="s">
        <v>13</v>
      </c>
      <c r="F193" s="12" t="s">
        <v>325</v>
      </c>
      <c r="G193" s="12" t="s">
        <v>200</v>
      </c>
      <c r="H193" s="11">
        <v>244</v>
      </c>
      <c r="I193" s="92">
        <v>33.75</v>
      </c>
      <c r="J193" s="92">
        <v>0</v>
      </c>
      <c r="K193" s="92">
        <v>0</v>
      </c>
      <c r="L193" s="78">
        <f aca="true" t="shared" si="6" ref="L193:L198">SUM(I193:K193)</f>
        <v>33.75</v>
      </c>
    </row>
    <row r="194" spans="1:12" s="6" customFormat="1" ht="12.75" customHeight="1">
      <c r="A194" s="303"/>
      <c r="B194" s="287"/>
      <c r="C194" s="310"/>
      <c r="D194" s="288"/>
      <c r="E194" s="9" t="s">
        <v>13</v>
      </c>
      <c r="F194" s="12" t="s">
        <v>19</v>
      </c>
      <c r="G194" s="12" t="s">
        <v>200</v>
      </c>
      <c r="H194" s="11">
        <v>111</v>
      </c>
      <c r="I194" s="92">
        <v>26748.746</v>
      </c>
      <c r="J194" s="92">
        <v>26492.67</v>
      </c>
      <c r="K194" s="92">
        <v>26492.67</v>
      </c>
      <c r="L194" s="78">
        <f t="shared" si="6"/>
        <v>79734.086</v>
      </c>
    </row>
    <row r="195" spans="1:12" s="6" customFormat="1" ht="12.75" customHeight="1">
      <c r="A195" s="303"/>
      <c r="B195" s="287"/>
      <c r="C195" s="310"/>
      <c r="D195" s="288"/>
      <c r="E195" s="9" t="s">
        <v>13</v>
      </c>
      <c r="F195" s="12" t="s">
        <v>19</v>
      </c>
      <c r="G195" s="12" t="s">
        <v>200</v>
      </c>
      <c r="H195" s="7">
        <v>112</v>
      </c>
      <c r="I195" s="92">
        <v>13.978</v>
      </c>
      <c r="J195" s="92">
        <v>10.05</v>
      </c>
      <c r="K195" s="92">
        <v>10.05</v>
      </c>
      <c r="L195" s="78">
        <f t="shared" si="6"/>
        <v>34.078</v>
      </c>
    </row>
    <row r="196" spans="1:14" s="6" customFormat="1" ht="15.75" customHeight="1">
      <c r="A196" s="303"/>
      <c r="B196" s="287"/>
      <c r="C196" s="310"/>
      <c r="D196" s="288"/>
      <c r="E196" s="9" t="s">
        <v>13</v>
      </c>
      <c r="F196" s="12" t="s">
        <v>19</v>
      </c>
      <c r="G196" s="12" t="s">
        <v>200</v>
      </c>
      <c r="H196" s="7">
        <v>119</v>
      </c>
      <c r="I196" s="92">
        <v>8078.12615</v>
      </c>
      <c r="J196" s="92">
        <v>8000.79</v>
      </c>
      <c r="K196" s="92">
        <v>8000.79</v>
      </c>
      <c r="L196" s="78">
        <f t="shared" si="6"/>
        <v>24079.70615</v>
      </c>
      <c r="N196" s="137">
        <f>I203+I189+I192</f>
        <v>10010.205</v>
      </c>
    </row>
    <row r="197" spans="1:12" ht="12.75">
      <c r="A197" s="303"/>
      <c r="B197" s="287"/>
      <c r="C197" s="310"/>
      <c r="D197" s="288"/>
      <c r="E197" s="9" t="s">
        <v>13</v>
      </c>
      <c r="F197" s="12" t="s">
        <v>19</v>
      </c>
      <c r="G197" s="12" t="s">
        <v>200</v>
      </c>
      <c r="H197" s="7">
        <v>244</v>
      </c>
      <c r="I197" s="92">
        <v>2828.752</v>
      </c>
      <c r="J197" s="92">
        <v>2866.43</v>
      </c>
      <c r="K197" s="92">
        <v>2866.43</v>
      </c>
      <c r="L197" s="78">
        <f t="shared" si="6"/>
        <v>8561.612</v>
      </c>
    </row>
    <row r="198" spans="1:12" ht="12.75">
      <c r="A198" s="303"/>
      <c r="B198" s="287"/>
      <c r="C198" s="310"/>
      <c r="D198" s="288"/>
      <c r="E198" s="9" t="s">
        <v>13</v>
      </c>
      <c r="F198" s="12" t="s">
        <v>19</v>
      </c>
      <c r="G198" s="12" t="s">
        <v>200</v>
      </c>
      <c r="H198" s="7">
        <v>831</v>
      </c>
      <c r="I198" s="92">
        <v>0</v>
      </c>
      <c r="J198" s="92">
        <v>0</v>
      </c>
      <c r="K198" s="92">
        <v>0</v>
      </c>
      <c r="L198" s="78">
        <f t="shared" si="6"/>
        <v>0</v>
      </c>
    </row>
    <row r="199" spans="1:12" ht="12.75">
      <c r="A199" s="303"/>
      <c r="B199" s="287"/>
      <c r="C199" s="310"/>
      <c r="D199" s="288"/>
      <c r="E199" s="309" t="s">
        <v>155</v>
      </c>
      <c r="F199" s="309"/>
      <c r="G199" s="309"/>
      <c r="H199" s="309"/>
      <c r="I199" s="218">
        <f>SUM(I193:I198)</f>
        <v>37703.35215</v>
      </c>
      <c r="J199" s="219">
        <f>SUM(J193:J198)</f>
        <v>37369.939999999995</v>
      </c>
      <c r="K199" s="219">
        <f>SUM(K193:K198)</f>
        <v>37369.939999999995</v>
      </c>
      <c r="L199" s="220">
        <f>SUM(L193:L198)</f>
        <v>112443.23214999998</v>
      </c>
    </row>
    <row r="200" spans="1:13" s="6" customFormat="1" ht="19.5" customHeight="1">
      <c r="A200" s="303">
        <v>36</v>
      </c>
      <c r="B200" s="287" t="s">
        <v>433</v>
      </c>
      <c r="C200" s="302" t="s">
        <v>432</v>
      </c>
      <c r="D200" s="288" t="s">
        <v>144</v>
      </c>
      <c r="E200" s="9" t="s">
        <v>13</v>
      </c>
      <c r="F200" s="7" t="s">
        <v>20</v>
      </c>
      <c r="G200" s="9" t="s">
        <v>255</v>
      </c>
      <c r="H200" s="7">
        <v>244</v>
      </c>
      <c r="I200" s="92">
        <v>221.6</v>
      </c>
      <c r="J200" s="92">
        <v>220</v>
      </c>
      <c r="K200" s="92">
        <v>220</v>
      </c>
      <c r="L200" s="78">
        <f>SUM(I200:K200)</f>
        <v>661.6</v>
      </c>
      <c r="M200" s="143" t="s">
        <v>320</v>
      </c>
    </row>
    <row r="201" spans="1:13" s="6" customFormat="1" ht="19.5" customHeight="1">
      <c r="A201" s="303"/>
      <c r="B201" s="287"/>
      <c r="C201" s="302"/>
      <c r="D201" s="288"/>
      <c r="E201" s="9" t="s">
        <v>13</v>
      </c>
      <c r="F201" s="7" t="s">
        <v>20</v>
      </c>
      <c r="G201" s="9" t="s">
        <v>255</v>
      </c>
      <c r="H201" s="7">
        <v>321</v>
      </c>
      <c r="I201" s="92">
        <v>1169.14</v>
      </c>
      <c r="J201" s="92">
        <v>1156.9</v>
      </c>
      <c r="K201" s="92">
        <v>1156.9</v>
      </c>
      <c r="L201" s="78">
        <f>SUM(I201:K201)</f>
        <v>3482.94</v>
      </c>
      <c r="M201" s="143" t="s">
        <v>320</v>
      </c>
    </row>
    <row r="202" spans="1:13" s="6" customFormat="1" ht="21" customHeight="1">
      <c r="A202" s="303"/>
      <c r="B202" s="287"/>
      <c r="C202" s="302"/>
      <c r="D202" s="288"/>
      <c r="E202" s="9" t="s">
        <v>13</v>
      </c>
      <c r="F202" s="7" t="s">
        <v>20</v>
      </c>
      <c r="G202" s="9" t="s">
        <v>255</v>
      </c>
      <c r="H202" s="7">
        <v>323</v>
      </c>
      <c r="I202" s="92">
        <v>121.402</v>
      </c>
      <c r="J202" s="92">
        <v>120.1</v>
      </c>
      <c r="K202" s="92">
        <v>120.1</v>
      </c>
      <c r="L202" s="78">
        <f>SUM(I202:K202)</f>
        <v>361.602</v>
      </c>
      <c r="M202" s="143" t="s">
        <v>320</v>
      </c>
    </row>
    <row r="203" spans="1:12" s="6" customFormat="1" ht="15.75" customHeight="1">
      <c r="A203" s="303"/>
      <c r="B203" s="287"/>
      <c r="C203" s="302"/>
      <c r="D203" s="288"/>
      <c r="E203" s="289" t="s">
        <v>155</v>
      </c>
      <c r="F203" s="289"/>
      <c r="G203" s="289"/>
      <c r="H203" s="289"/>
      <c r="I203" s="218">
        <f>I202+I200+I201</f>
        <v>1512.142</v>
      </c>
      <c r="J203" s="215">
        <f>J202+J200+J201</f>
        <v>1497</v>
      </c>
      <c r="K203" s="215">
        <f>K202+K200+K201</f>
        <v>1497</v>
      </c>
      <c r="L203" s="215">
        <f>L202+L200+L201</f>
        <v>4506.142</v>
      </c>
    </row>
    <row r="207" ht="12.75" hidden="1" outlineLevel="1"/>
    <row r="208" ht="12.75" hidden="1" outlineLevel="1"/>
    <row r="209" spans="5:12" ht="12.75" hidden="1" outlineLevel="1">
      <c r="E209" s="73" t="s">
        <v>316</v>
      </c>
      <c r="F209" s="73"/>
      <c r="G209" s="73"/>
      <c r="H209" s="73"/>
      <c r="I209" s="138">
        <f>I46+I77+I146+I156+I162</f>
        <v>45883.31126000001</v>
      </c>
      <c r="J209" s="138">
        <f>J46+J77+J146+J156+J162</f>
        <v>37723.998</v>
      </c>
      <c r="K209" s="138">
        <f>K46+K77+K146+K156+K162</f>
        <v>37723.998</v>
      </c>
      <c r="L209" s="138">
        <f>L46+L77+L146+L156+L162</f>
        <v>121331.30725999999</v>
      </c>
    </row>
    <row r="210" spans="5:12" ht="12.75" hidden="1" outlineLevel="1">
      <c r="E210" s="73" t="s">
        <v>313</v>
      </c>
      <c r="F210" s="73"/>
      <c r="G210" s="73"/>
      <c r="H210" s="73"/>
      <c r="I210" s="167">
        <f>I25+I31+I95+I104+I110+I113+I117+I143+I152+I167+I189+I192+I199+I34+I37+I121+I132</f>
        <v>265307.43761</v>
      </c>
      <c r="J210" s="167">
        <f>J25+J31+J95+J104+J110+J113+J117+J143+J152+J167+J189+J192+J199+J34+J37+J121+J132</f>
        <v>253745.80999999997</v>
      </c>
      <c r="K210" s="167">
        <f>K25+K31+K95+K104+K110+K113+K117+K143+K152+K167+K189+K192+K199+K34+K37+K121+K132</f>
        <v>245745.81000000003</v>
      </c>
      <c r="L210" s="167">
        <f>L25+L31+L95+L104+L110+L113+L117+L143+L152+L167+L189+L192+L199+L34+L37+L121+L132</f>
        <v>764799.0576099999</v>
      </c>
    </row>
    <row r="211" spans="5:12" ht="12.75" hidden="1" outlineLevel="1">
      <c r="E211" s="73" t="s">
        <v>314</v>
      </c>
      <c r="F211" s="73"/>
      <c r="G211" s="73"/>
      <c r="H211" s="73"/>
      <c r="I211" s="138">
        <f>I14-I209-I210-I212</f>
        <v>591844.02681</v>
      </c>
      <c r="J211" s="138">
        <f>J14-J209-J210-J212</f>
        <v>570143.16141</v>
      </c>
      <c r="K211" s="138">
        <f>K14-K209-K210-K212</f>
        <v>574261.1073599997</v>
      </c>
      <c r="L211" s="138">
        <f>L14-L209-L210-L212</f>
        <v>1736248.29558</v>
      </c>
    </row>
    <row r="212" spans="5:12" ht="12.75" hidden="1" outlineLevel="1">
      <c r="E212" s="73" t="s">
        <v>315</v>
      </c>
      <c r="F212" s="73"/>
      <c r="G212" s="73"/>
      <c r="H212" s="73"/>
      <c r="I212" s="167">
        <f>I89+I111+I115+I135+I179</f>
        <v>68809.60793</v>
      </c>
      <c r="J212" s="167">
        <f>J89+J111+J115+J135+J179</f>
        <v>70471.86582</v>
      </c>
      <c r="K212" s="167">
        <f>K89+K111+K115+K135+K179</f>
        <v>64468.811330000004</v>
      </c>
      <c r="L212" s="167">
        <f>L89+L111+L115+L135+L179</f>
        <v>203750.28508</v>
      </c>
    </row>
    <row r="213" spans="5:12" ht="12.75" hidden="1" outlineLevel="1">
      <c r="E213" s="73"/>
      <c r="F213" s="73"/>
      <c r="G213" s="73"/>
      <c r="H213" s="73"/>
      <c r="I213" s="73"/>
      <c r="J213" s="73"/>
      <c r="K213" s="73"/>
      <c r="L213" s="73"/>
    </row>
    <row r="214" spans="5:12" ht="12.75" hidden="1" outlineLevel="1">
      <c r="E214" s="9" t="s">
        <v>13</v>
      </c>
      <c r="F214" s="73"/>
      <c r="G214" s="73"/>
      <c r="H214" s="73"/>
      <c r="I214" s="138">
        <f>I215+I216+I217+I218</f>
        <v>954136.5428699999</v>
      </c>
      <c r="J214" s="138">
        <f>J215+J216+J217+J218</f>
        <v>909159.5354299998</v>
      </c>
      <c r="K214" s="138">
        <f>K215+K216+K217+K218</f>
        <v>905649.9268899997</v>
      </c>
      <c r="L214" s="138">
        <f>L215+L216+L217+L218</f>
        <v>2768946.00519</v>
      </c>
    </row>
    <row r="215" spans="5:12" ht="12.75" hidden="1" outlineLevel="1">
      <c r="E215" s="73" t="s">
        <v>316</v>
      </c>
      <c r="F215" s="73"/>
      <c r="G215" s="73"/>
      <c r="H215" s="73"/>
      <c r="I215" s="230">
        <f>I209-I155</f>
        <v>45478.13326000001</v>
      </c>
      <c r="J215" s="230">
        <f>J209-J155</f>
        <v>37318.82</v>
      </c>
      <c r="K215" s="230">
        <f>K209-K155</f>
        <v>37318.82</v>
      </c>
      <c r="L215" s="230">
        <f>L209-L155</f>
        <v>120115.77325999999</v>
      </c>
    </row>
    <row r="216" spans="5:12" ht="12.75" hidden="1" outlineLevel="1">
      <c r="E216" s="73" t="s">
        <v>313</v>
      </c>
      <c r="F216" s="73"/>
      <c r="G216" s="73"/>
      <c r="H216" s="73"/>
      <c r="I216" s="167">
        <f>I210</f>
        <v>265307.43761</v>
      </c>
      <c r="J216" s="167">
        <f>J210</f>
        <v>253745.80999999997</v>
      </c>
      <c r="K216" s="167">
        <f>K210</f>
        <v>245745.81000000003</v>
      </c>
      <c r="L216" s="167">
        <f>L210</f>
        <v>764799.0576099999</v>
      </c>
    </row>
    <row r="217" spans="5:12" ht="12.75" hidden="1" outlineLevel="1">
      <c r="E217" s="73" t="s">
        <v>314</v>
      </c>
      <c r="F217" s="73"/>
      <c r="G217" s="73"/>
      <c r="H217" s="73"/>
      <c r="I217" s="138">
        <f>I211-I158-I177-I178</f>
        <v>586666.1601299999</v>
      </c>
      <c r="J217" s="138">
        <f>J211-J158-J177-J178</f>
        <v>560051.2321599999</v>
      </c>
      <c r="K217" s="138">
        <f>K211-K158-K177-K178</f>
        <v>562781.7526399996</v>
      </c>
      <c r="L217" s="138">
        <f>L211-L158-L177-L178</f>
        <v>1709499.14493</v>
      </c>
    </row>
    <row r="218" spans="5:12" ht="12.75" hidden="1" outlineLevel="1">
      <c r="E218" s="73" t="s">
        <v>315</v>
      </c>
      <c r="F218" s="73"/>
      <c r="G218" s="73"/>
      <c r="H218" s="73"/>
      <c r="I218" s="167">
        <f>I212-I224</f>
        <v>56684.81187</v>
      </c>
      <c r="J218" s="167">
        <f>J212-J224</f>
        <v>58043.67327000001</v>
      </c>
      <c r="K218" s="167">
        <f>K212-K224</f>
        <v>59803.544250000006</v>
      </c>
      <c r="L218" s="167">
        <f>L212-L224</f>
        <v>174532.02939</v>
      </c>
    </row>
    <row r="219" spans="5:12" ht="12.75" hidden="1" outlineLevel="1">
      <c r="E219" s="73"/>
      <c r="F219" s="73"/>
      <c r="G219" s="73"/>
      <c r="H219" s="73"/>
      <c r="I219" s="73"/>
      <c r="J219" s="73"/>
      <c r="K219" s="73"/>
      <c r="L219" s="73"/>
    </row>
    <row r="220" spans="5:12" ht="12.75" hidden="1" outlineLevel="1">
      <c r="E220" s="139">
        <v>162</v>
      </c>
      <c r="F220" s="73"/>
      <c r="G220" s="73"/>
      <c r="H220" s="73"/>
      <c r="I220" s="138">
        <f>I221+I222+I223+I224</f>
        <v>17707.840740000094</v>
      </c>
      <c r="J220" s="138">
        <f>J221+J222+J223+J224</f>
        <v>22925.299800000044</v>
      </c>
      <c r="K220" s="138">
        <f>K221+K222+K223+K224</f>
        <v>16549.79980000006</v>
      </c>
      <c r="L220" s="138">
        <f>L221+L222+L223+L224</f>
        <v>57182.940339999965</v>
      </c>
    </row>
    <row r="221" spans="5:12" ht="12.75" hidden="1" outlineLevel="1">
      <c r="E221" s="73" t="s">
        <v>316</v>
      </c>
      <c r="F221" s="73"/>
      <c r="G221" s="73"/>
      <c r="H221" s="73"/>
      <c r="I221" s="138">
        <f>I209-I215</f>
        <v>405.1779999999999</v>
      </c>
      <c r="J221" s="138">
        <f>J209-J215</f>
        <v>405.1779999999999</v>
      </c>
      <c r="K221" s="138">
        <f>K209-K215</f>
        <v>405.1779999999999</v>
      </c>
      <c r="L221" s="138">
        <f>L209-L215</f>
        <v>1215.5339999999997</v>
      </c>
    </row>
    <row r="222" spans="5:12" ht="12.75" hidden="1" outlineLevel="1">
      <c r="E222" s="73" t="s">
        <v>313</v>
      </c>
      <c r="F222" s="73"/>
      <c r="G222" s="73"/>
      <c r="H222" s="73"/>
      <c r="I222" s="73">
        <v>0</v>
      </c>
      <c r="J222" s="73">
        <v>0</v>
      </c>
      <c r="K222" s="73">
        <v>0</v>
      </c>
      <c r="L222" s="73">
        <v>0</v>
      </c>
    </row>
    <row r="223" spans="5:12" ht="12.75" hidden="1" outlineLevel="1">
      <c r="E223" s="73" t="s">
        <v>314</v>
      </c>
      <c r="F223" s="73"/>
      <c r="G223" s="73"/>
      <c r="H223" s="73"/>
      <c r="I223" s="138">
        <f>I211-I217</f>
        <v>5177.866680000094</v>
      </c>
      <c r="J223" s="138">
        <f>J211-J217</f>
        <v>10091.929250000045</v>
      </c>
      <c r="K223" s="138">
        <f>K211-K217</f>
        <v>11479.354720000061</v>
      </c>
      <c r="L223" s="138">
        <f>L211-L217</f>
        <v>26749.150649999967</v>
      </c>
    </row>
    <row r="224" spans="5:12" ht="12.75" hidden="1" outlineLevel="1">
      <c r="E224" s="73" t="s">
        <v>315</v>
      </c>
      <c r="F224" s="73"/>
      <c r="G224" s="73"/>
      <c r="H224" s="73"/>
      <c r="I224" s="166">
        <f>I179</f>
        <v>12124.79606</v>
      </c>
      <c r="J224" s="166">
        <f>J179</f>
        <v>12428.19255</v>
      </c>
      <c r="K224" s="166">
        <f>K179</f>
        <v>4665.26708</v>
      </c>
      <c r="L224" s="166">
        <f>L179</f>
        <v>29218.255689999998</v>
      </c>
    </row>
    <row r="225" ht="12.75" hidden="1" outlineLevel="1"/>
    <row r="226" ht="12.75" hidden="1" outlineLevel="1"/>
    <row r="227" ht="12.75" collapsed="1">
      <c r="I227" s="115"/>
    </row>
    <row r="231" ht="12.75">
      <c r="I231" t="s">
        <v>328</v>
      </c>
    </row>
    <row r="233" ht="12.75">
      <c r="I233" s="161">
        <f>I77+I81+I156+I159+I162+I165+I168</f>
        <v>15470.617600000001</v>
      </c>
    </row>
    <row r="234" spans="8:9" ht="12.75">
      <c r="H234" t="s">
        <v>329</v>
      </c>
      <c r="I234" s="161">
        <f>I81+I159+I165+I167</f>
        <v>9791.957999999999</v>
      </c>
    </row>
    <row r="235" spans="8:9" ht="12.75">
      <c r="H235" t="s">
        <v>330</v>
      </c>
      <c r="I235" s="161">
        <f>I77+I156+I162</f>
        <v>5236.4596</v>
      </c>
    </row>
    <row r="236" spans="8:9" ht="12.75">
      <c r="H236" t="s">
        <v>331</v>
      </c>
      <c r="I236" s="161">
        <f>I233-I234-I235</f>
        <v>442.20000000000255</v>
      </c>
    </row>
  </sheetData>
  <sheetProtection/>
  <autoFilter ref="G5:G199"/>
  <mergeCells count="192">
    <mergeCell ref="C105:C110"/>
    <mergeCell ref="E102:H102"/>
    <mergeCell ref="C166:C168"/>
    <mergeCell ref="A136:A138"/>
    <mergeCell ref="B136:B138"/>
    <mergeCell ref="A160:A162"/>
    <mergeCell ref="B160:B162"/>
    <mergeCell ref="C160:C162"/>
    <mergeCell ref="A163:A165"/>
    <mergeCell ref="A139:A146"/>
    <mergeCell ref="E146:H146"/>
    <mergeCell ref="C139:C146"/>
    <mergeCell ref="D139:D146"/>
    <mergeCell ref="E143:H143"/>
    <mergeCell ref="E104:H104"/>
    <mergeCell ref="B105:B110"/>
    <mergeCell ref="C136:C138"/>
    <mergeCell ref="B99:B104"/>
    <mergeCell ref="C99:C104"/>
    <mergeCell ref="A133:A135"/>
    <mergeCell ref="B133:B135"/>
    <mergeCell ref="E107:H107"/>
    <mergeCell ref="A47:A51"/>
    <mergeCell ref="C57:C60"/>
    <mergeCell ref="D57:D60"/>
    <mergeCell ref="D52:D56"/>
    <mergeCell ref="A52:A56"/>
    <mergeCell ref="B52:B56"/>
    <mergeCell ref="E110:H110"/>
    <mergeCell ref="A57:A60"/>
    <mergeCell ref="B57:B60"/>
    <mergeCell ref="J5:L5"/>
    <mergeCell ref="J6:L6"/>
    <mergeCell ref="C153:C156"/>
    <mergeCell ref="B153:B156"/>
    <mergeCell ref="D11:D12"/>
    <mergeCell ref="C47:C51"/>
    <mergeCell ref="B20:B46"/>
    <mergeCell ref="D99:D104"/>
    <mergeCell ref="D47:D51"/>
    <mergeCell ref="E77:H77"/>
    <mergeCell ref="E60:H60"/>
    <mergeCell ref="E56:H56"/>
    <mergeCell ref="B47:B51"/>
    <mergeCell ref="E51:H51"/>
    <mergeCell ref="C52:C56"/>
    <mergeCell ref="D96:D98"/>
    <mergeCell ref="E69:H69"/>
    <mergeCell ref="D70:D74"/>
    <mergeCell ref="D61:D69"/>
    <mergeCell ref="E81:H81"/>
    <mergeCell ref="E95:H95"/>
    <mergeCell ref="E64:H64"/>
    <mergeCell ref="E92:H92"/>
    <mergeCell ref="A17:A19"/>
    <mergeCell ref="A20:A46"/>
    <mergeCell ref="A11:A12"/>
    <mergeCell ref="A14:A16"/>
    <mergeCell ref="I11:L11"/>
    <mergeCell ref="E46:H46"/>
    <mergeCell ref="C17:C19"/>
    <mergeCell ref="B17:B19"/>
    <mergeCell ref="B11:B12"/>
    <mergeCell ref="B14:B16"/>
    <mergeCell ref="C7:L7"/>
    <mergeCell ref="C11:C12"/>
    <mergeCell ref="C14:C16"/>
    <mergeCell ref="D20:D46"/>
    <mergeCell ref="C20:C46"/>
    <mergeCell ref="E25:H25"/>
    <mergeCell ref="E31:H31"/>
    <mergeCell ref="C8:L8"/>
    <mergeCell ref="E11:H11"/>
    <mergeCell ref="E34:H34"/>
    <mergeCell ref="A115:A118"/>
    <mergeCell ref="A75:A77"/>
    <mergeCell ref="B75:B77"/>
    <mergeCell ref="C75:C77"/>
    <mergeCell ref="A61:A69"/>
    <mergeCell ref="E74:H74"/>
    <mergeCell ref="D75:D77"/>
    <mergeCell ref="E86:H86"/>
    <mergeCell ref="A82:A86"/>
    <mergeCell ref="B82:B86"/>
    <mergeCell ref="C82:C86"/>
    <mergeCell ref="D78:D81"/>
    <mergeCell ref="C78:C81"/>
    <mergeCell ref="A153:A156"/>
    <mergeCell ref="D155:D156"/>
    <mergeCell ref="B139:B146"/>
    <mergeCell ref="D105:D110"/>
    <mergeCell ref="A123:A132"/>
    <mergeCell ref="C119:C122"/>
    <mergeCell ref="D119:D122"/>
    <mergeCell ref="A70:A74"/>
    <mergeCell ref="B70:B74"/>
    <mergeCell ref="C70:C74"/>
    <mergeCell ref="B61:B69"/>
    <mergeCell ref="C61:C69"/>
    <mergeCell ref="A105:A110"/>
    <mergeCell ref="A99:A104"/>
    <mergeCell ref="C96:C98"/>
    <mergeCell ref="A87:A95"/>
    <mergeCell ref="B78:B81"/>
    <mergeCell ref="D193:D199"/>
    <mergeCell ref="B181:B183"/>
    <mergeCell ref="A96:A98"/>
    <mergeCell ref="B96:B98"/>
    <mergeCell ref="D82:D86"/>
    <mergeCell ref="E98:H98"/>
    <mergeCell ref="A157:A159"/>
    <mergeCell ref="B157:B159"/>
    <mergeCell ref="C157:C159"/>
    <mergeCell ref="E159:H159"/>
    <mergeCell ref="B177:B180"/>
    <mergeCell ref="B172:B176"/>
    <mergeCell ref="A193:A199"/>
    <mergeCell ref="E162:H162"/>
    <mergeCell ref="B163:B165"/>
    <mergeCell ref="C163:C165"/>
    <mergeCell ref="D163:D165"/>
    <mergeCell ref="E165:H165"/>
    <mergeCell ref="A172:A176"/>
    <mergeCell ref="A166:A168"/>
    <mergeCell ref="C193:C199"/>
    <mergeCell ref="D115:D118"/>
    <mergeCell ref="C172:C176"/>
    <mergeCell ref="C133:C135"/>
    <mergeCell ref="C181:C183"/>
    <mergeCell ref="D177:D180"/>
    <mergeCell ref="D133:D135"/>
    <mergeCell ref="C123:C132"/>
    <mergeCell ref="C184:C189"/>
    <mergeCell ref="C190:C192"/>
    <mergeCell ref="E199:H199"/>
    <mergeCell ref="E192:H192"/>
    <mergeCell ref="E156:H156"/>
    <mergeCell ref="E135:H135"/>
    <mergeCell ref="E168:H168"/>
    <mergeCell ref="E127:H127"/>
    <mergeCell ref="E180:H180"/>
    <mergeCell ref="E189:H189"/>
    <mergeCell ref="E122:H122"/>
    <mergeCell ref="E176:H176"/>
    <mergeCell ref="D166:D168"/>
    <mergeCell ref="B115:B118"/>
    <mergeCell ref="B166:B168"/>
    <mergeCell ref="A181:A183"/>
    <mergeCell ref="D172:D176"/>
    <mergeCell ref="C177:C180"/>
    <mergeCell ref="A177:A180"/>
    <mergeCell ref="D160:D162"/>
    <mergeCell ref="A169:A171"/>
    <mergeCell ref="D200:D203"/>
    <mergeCell ref="E203:H203"/>
    <mergeCell ref="A111:A114"/>
    <mergeCell ref="B111:B114"/>
    <mergeCell ref="C111:C114"/>
    <mergeCell ref="D111:D114"/>
    <mergeCell ref="E114:H114"/>
    <mergeCell ref="A147:A152"/>
    <mergeCell ref="B200:B203"/>
    <mergeCell ref="C200:C203"/>
    <mergeCell ref="A78:A81"/>
    <mergeCell ref="B193:B199"/>
    <mergeCell ref="B147:B152"/>
    <mergeCell ref="B190:B192"/>
    <mergeCell ref="A190:A192"/>
    <mergeCell ref="A200:A203"/>
    <mergeCell ref="B169:B171"/>
    <mergeCell ref="C169:C171"/>
    <mergeCell ref="C115:C118"/>
    <mergeCell ref="C147:C152"/>
    <mergeCell ref="D147:D152"/>
    <mergeCell ref="B123:B132"/>
    <mergeCell ref="D123:D132"/>
    <mergeCell ref="E37:H37"/>
    <mergeCell ref="A119:A122"/>
    <mergeCell ref="B119:B122"/>
    <mergeCell ref="E152:H152"/>
    <mergeCell ref="E132:H132"/>
    <mergeCell ref="E118:H118"/>
    <mergeCell ref="D153:D154"/>
    <mergeCell ref="B184:B189"/>
    <mergeCell ref="A184:A189"/>
    <mergeCell ref="D184:D189"/>
    <mergeCell ref="D190:D192"/>
    <mergeCell ref="J3:L3"/>
    <mergeCell ref="E89:H89"/>
    <mergeCell ref="D87:D95"/>
    <mergeCell ref="C87:C95"/>
    <mergeCell ref="B87:B95"/>
  </mergeCells>
  <printOptions/>
  <pageMargins left="0.7874015748031497" right="0" top="0.15748031496062992" bottom="0" header="0.31496062992125984" footer="0.31496062992125984"/>
  <pageSetup fitToHeight="1000" fitToWidth="1000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zoomScale="90" zoomScaleNormal="90" zoomScaleSheetLayoutView="90" workbookViewId="0" topLeftCell="A1">
      <pane xSplit="2" ySplit="11" topLeftCell="C12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E22" sqref="E22"/>
    </sheetView>
  </sheetViews>
  <sheetFormatPr defaultColWidth="9.00390625" defaultRowHeight="12.75"/>
  <cols>
    <col min="1" max="1" width="3.625" style="6" customWidth="1"/>
    <col min="2" max="2" width="47.25390625" style="0" customWidth="1"/>
    <col min="3" max="3" width="12.375" style="0" customWidth="1"/>
    <col min="4" max="4" width="17.125" style="0" customWidth="1"/>
    <col min="5" max="5" width="19.25390625" style="0" customWidth="1"/>
    <col min="6" max="6" width="21.125" style="0" customWidth="1"/>
    <col min="7" max="7" width="25.75390625" style="0" customWidth="1"/>
  </cols>
  <sheetData>
    <row r="1" spans="2:7" ht="15" customHeight="1">
      <c r="B1" s="23"/>
      <c r="C1" s="23"/>
      <c r="E1" s="248" t="s">
        <v>207</v>
      </c>
      <c r="F1" s="248"/>
      <c r="G1" s="248"/>
    </row>
    <row r="2" spans="2:7" ht="33.75" customHeight="1">
      <c r="B2" s="23"/>
      <c r="C2" s="23"/>
      <c r="E2" s="248" t="s">
        <v>355</v>
      </c>
      <c r="F2" s="248"/>
      <c r="G2" s="248"/>
    </row>
    <row r="3" spans="2:7" ht="35.25" customHeight="1">
      <c r="B3" s="23"/>
      <c r="C3" s="23"/>
      <c r="E3" s="5"/>
      <c r="F3" s="5"/>
      <c r="G3" s="5"/>
    </row>
    <row r="4" spans="1:7" ht="15.75" customHeight="1">
      <c r="A4" s="258" t="s">
        <v>100</v>
      </c>
      <c r="B4" s="258"/>
      <c r="C4" s="258"/>
      <c r="D4" s="258"/>
      <c r="E4" s="258"/>
      <c r="F4" s="258"/>
      <c r="G4" s="258"/>
    </row>
    <row r="5" spans="1:7" ht="36" customHeight="1">
      <c r="A5" s="259" t="s">
        <v>203</v>
      </c>
      <c r="B5" s="259"/>
      <c r="C5" s="259"/>
      <c r="D5" s="259"/>
      <c r="E5" s="259"/>
      <c r="F5" s="259"/>
      <c r="G5" s="259"/>
    </row>
    <row r="7" ht="12.75">
      <c r="G7" t="s">
        <v>40</v>
      </c>
    </row>
    <row r="8" spans="1:7" s="6" customFormat="1" ht="35.25" customHeight="1">
      <c r="A8" s="287" t="s">
        <v>0</v>
      </c>
      <c r="B8" s="325" t="s">
        <v>6</v>
      </c>
      <c r="C8" s="325" t="s">
        <v>204</v>
      </c>
      <c r="D8" s="325"/>
      <c r="E8" s="325"/>
      <c r="F8" s="325"/>
      <c r="G8" s="325"/>
    </row>
    <row r="9" spans="1:7" s="6" customFormat="1" ht="18" customHeight="1">
      <c r="A9" s="287"/>
      <c r="B9" s="325"/>
      <c r="C9" s="326" t="s">
        <v>52</v>
      </c>
      <c r="D9" s="327" t="s">
        <v>51</v>
      </c>
      <c r="E9" s="327"/>
      <c r="F9" s="327"/>
      <c r="G9" s="327"/>
    </row>
    <row r="10" spans="1:7" s="6" customFormat="1" ht="87.75" customHeight="1">
      <c r="A10" s="287"/>
      <c r="B10" s="325"/>
      <c r="C10" s="326"/>
      <c r="D10" s="20" t="s">
        <v>53</v>
      </c>
      <c r="E10" s="20" t="s">
        <v>54</v>
      </c>
      <c r="F10" s="20" t="s">
        <v>55</v>
      </c>
      <c r="G10" s="53" t="s">
        <v>56</v>
      </c>
    </row>
    <row r="11" spans="1:7" s="6" customFormat="1" ht="15.75" customHeight="1" thickBot="1">
      <c r="A11" s="36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</row>
    <row r="12" spans="1:7" ht="25.5">
      <c r="A12" s="50">
        <v>1</v>
      </c>
      <c r="B12" s="54" t="s">
        <v>205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</row>
    <row r="13" spans="1:7" ht="12.75">
      <c r="A13" s="45">
        <v>2</v>
      </c>
      <c r="B13" s="43"/>
      <c r="C13" s="42">
        <v>0</v>
      </c>
      <c r="D13" s="42">
        <v>0</v>
      </c>
      <c r="E13" s="42">
        <v>0</v>
      </c>
      <c r="F13" s="42">
        <v>0</v>
      </c>
      <c r="G13" s="42">
        <v>0</v>
      </c>
    </row>
    <row r="14" spans="1:7" ht="12.75">
      <c r="A14" s="45">
        <f>A13+1</f>
        <v>3</v>
      </c>
      <c r="B14" s="41" t="s">
        <v>57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</row>
    <row r="15" spans="1:7" ht="12.75">
      <c r="A15" s="45">
        <f aca="true" t="shared" si="0" ref="A15:A21">A14+1</f>
        <v>4</v>
      </c>
      <c r="B15" s="55" t="s">
        <v>12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7" ht="12.75">
      <c r="A16" s="45">
        <f t="shared" si="0"/>
        <v>5</v>
      </c>
      <c r="B16" s="43"/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7" spans="1:7" ht="12.75">
      <c r="A17" s="45">
        <f t="shared" si="0"/>
        <v>6</v>
      </c>
      <c r="B17" s="41" t="s">
        <v>57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</row>
    <row r="18" spans="1:7" ht="12.75">
      <c r="A18" s="45">
        <f t="shared" si="0"/>
        <v>7</v>
      </c>
      <c r="B18" s="43"/>
      <c r="C18" s="42"/>
      <c r="D18" s="42"/>
      <c r="E18" s="42"/>
      <c r="F18" s="42"/>
      <c r="G18" s="42"/>
    </row>
    <row r="19" spans="1:7" ht="12.75">
      <c r="A19" s="45">
        <f t="shared" si="0"/>
        <v>8</v>
      </c>
      <c r="B19" s="41"/>
      <c r="C19" s="42"/>
      <c r="D19" s="42"/>
      <c r="E19" s="42"/>
      <c r="F19" s="42"/>
      <c r="G19" s="42"/>
    </row>
    <row r="20" spans="1:7" ht="12.75">
      <c r="A20" s="45">
        <f t="shared" si="0"/>
        <v>9</v>
      </c>
      <c r="B20" s="43"/>
      <c r="C20" s="42"/>
      <c r="D20" s="42"/>
      <c r="E20" s="42"/>
      <c r="F20" s="42"/>
      <c r="G20" s="42"/>
    </row>
    <row r="21" spans="1:7" ht="13.5" thickBot="1">
      <c r="A21" s="45">
        <f t="shared" si="0"/>
        <v>10</v>
      </c>
      <c r="B21" s="47" t="s">
        <v>58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</sheetData>
  <sheetProtection/>
  <mergeCells count="9">
    <mergeCell ref="E1:G1"/>
    <mergeCell ref="E2:G2"/>
    <mergeCell ref="A8:A10"/>
    <mergeCell ref="B8:B10"/>
    <mergeCell ref="A5:G5"/>
    <mergeCell ref="A4:G4"/>
    <mergeCell ref="C8:G8"/>
    <mergeCell ref="C9:C10"/>
    <mergeCell ref="D9:G9"/>
  </mergeCells>
  <printOptions/>
  <pageMargins left="0.984251968503937" right="0" top="0.35433070866141736" bottom="0" header="0.31496062992125984" footer="0.31496062992125984"/>
  <pageSetup fitToHeight="1000" fitToWidth="1000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66"/>
  <sheetViews>
    <sheetView zoomScale="120" zoomScaleNormal="120" zoomScaleSheetLayoutView="90" workbookViewId="0" topLeftCell="A1">
      <pane xSplit="2" ySplit="13" topLeftCell="C14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D18" sqref="D18"/>
    </sheetView>
  </sheetViews>
  <sheetFormatPr defaultColWidth="9.00390625" defaultRowHeight="12.75"/>
  <cols>
    <col min="1" max="1" width="3.625" style="6" customWidth="1"/>
    <col min="2" max="2" width="77.25390625" style="0" customWidth="1"/>
    <col min="3" max="3" width="24.25390625" style="0" customWidth="1"/>
    <col min="4" max="4" width="20.375" style="0" customWidth="1"/>
    <col min="5" max="5" width="19.125" style="0" customWidth="1"/>
    <col min="6" max="6" width="19.00390625" style="0" customWidth="1"/>
    <col min="7" max="7" width="16.00390625" style="0" customWidth="1"/>
  </cols>
  <sheetData>
    <row r="1" spans="4:6" ht="15.75">
      <c r="D1" s="214" t="s">
        <v>18</v>
      </c>
      <c r="E1" s="144"/>
      <c r="F1" s="144"/>
    </row>
    <row r="2" spans="4:6" ht="15.75">
      <c r="D2" s="214" t="s">
        <v>419</v>
      </c>
      <c r="E2" s="213"/>
      <c r="F2" s="5"/>
    </row>
    <row r="3" spans="4:6" ht="15.75">
      <c r="D3" s="234" t="s">
        <v>420</v>
      </c>
      <c r="E3" s="234"/>
      <c r="F3" s="234"/>
    </row>
    <row r="5" spans="3:8" ht="15" customHeight="1">
      <c r="C5" s="5"/>
      <c r="D5" s="248" t="s">
        <v>212</v>
      </c>
      <c r="E5" s="248"/>
      <c r="F5" s="248"/>
      <c r="G5" s="3"/>
      <c r="H5" s="3"/>
    </row>
    <row r="6" spans="3:8" ht="30.75" customHeight="1">
      <c r="C6" s="5"/>
      <c r="D6" s="248" t="s">
        <v>355</v>
      </c>
      <c r="E6" s="248"/>
      <c r="F6" s="248"/>
      <c r="G6" s="3"/>
      <c r="H6" s="3"/>
    </row>
    <row r="7" spans="1:7" ht="15.75" customHeight="1">
      <c r="A7" s="258" t="s">
        <v>215</v>
      </c>
      <c r="B7" s="258"/>
      <c r="C7" s="258"/>
      <c r="D7" s="258"/>
      <c r="E7" s="258"/>
      <c r="F7" s="258"/>
      <c r="G7" s="21"/>
    </row>
    <row r="8" spans="1:7" ht="33.75" customHeight="1">
      <c r="A8" s="259" t="s">
        <v>216</v>
      </c>
      <c r="B8" s="259"/>
      <c r="C8" s="259"/>
      <c r="D8" s="259"/>
      <c r="E8" s="259"/>
      <c r="F8" s="259"/>
      <c r="G8" s="18"/>
    </row>
    <row r="9" ht="12.75">
      <c r="F9" s="72" t="s">
        <v>222</v>
      </c>
    </row>
    <row r="10" spans="1:7" s="6" customFormat="1" ht="18" customHeight="1">
      <c r="A10" s="287" t="s">
        <v>0</v>
      </c>
      <c r="B10" s="329" t="s">
        <v>44</v>
      </c>
      <c r="C10" s="328" t="s">
        <v>213</v>
      </c>
      <c r="D10" s="328"/>
      <c r="E10" s="328"/>
      <c r="F10" s="328"/>
      <c r="G10" s="38"/>
    </row>
    <row r="11" spans="1:7" s="6" customFormat="1" ht="18" customHeight="1">
      <c r="A11" s="287"/>
      <c r="B11" s="329"/>
      <c r="C11" s="329" t="s">
        <v>58</v>
      </c>
      <c r="D11" s="332" t="s">
        <v>249</v>
      </c>
      <c r="E11" s="330" t="s">
        <v>214</v>
      </c>
      <c r="F11" s="331"/>
      <c r="G11" s="39"/>
    </row>
    <row r="12" spans="1:8" s="6" customFormat="1" ht="17.25" customHeight="1">
      <c r="A12" s="287"/>
      <c r="B12" s="329"/>
      <c r="C12" s="329"/>
      <c r="D12" s="333"/>
      <c r="E12" s="66" t="s">
        <v>280</v>
      </c>
      <c r="F12" s="66" t="s">
        <v>346</v>
      </c>
      <c r="G12" s="40"/>
      <c r="H12" s="52"/>
    </row>
    <row r="13" spans="1:7" s="6" customFormat="1" ht="15.75" customHeight="1" thickBot="1">
      <c r="A13" s="36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33"/>
    </row>
    <row r="14" spans="1:6" ht="17.25" customHeight="1">
      <c r="A14" s="50">
        <v>1</v>
      </c>
      <c r="B14" s="54" t="s">
        <v>217</v>
      </c>
      <c r="C14" s="80">
        <f>C15+C18+C20+C22</f>
        <v>2826128.94553</v>
      </c>
      <c r="D14" s="80">
        <f>D15+D18+D20+D22</f>
        <v>971844.3836099998</v>
      </c>
      <c r="E14" s="80">
        <f>E15+E18+E20+E22</f>
        <v>932084.8352300002</v>
      </c>
      <c r="F14" s="80">
        <f>F15+F18+F20+F22</f>
        <v>922199.7266899999</v>
      </c>
    </row>
    <row r="15" spans="1:6" ht="12.75">
      <c r="A15" s="45">
        <v>2</v>
      </c>
      <c r="B15" s="43" t="s">
        <v>45</v>
      </c>
      <c r="C15" s="81">
        <f aca="true" t="shared" si="0" ref="C15:F16">C25+C35+C45+C55</f>
        <v>764799.0576099998</v>
      </c>
      <c r="D15" s="81">
        <f t="shared" si="0"/>
        <v>265307.43761</v>
      </c>
      <c r="E15" s="81">
        <f t="shared" si="0"/>
        <v>253745.80999999997</v>
      </c>
      <c r="F15" s="81">
        <f t="shared" si="0"/>
        <v>245745.80999999976</v>
      </c>
    </row>
    <row r="16" spans="1:6" ht="12.75">
      <c r="A16" s="45">
        <f>A15+1</f>
        <v>3</v>
      </c>
      <c r="B16" s="41" t="s">
        <v>46</v>
      </c>
      <c r="C16" s="81">
        <f t="shared" si="0"/>
        <v>0</v>
      </c>
      <c r="D16" s="81">
        <f t="shared" si="0"/>
        <v>0</v>
      </c>
      <c r="E16" s="81">
        <f t="shared" si="0"/>
        <v>0</v>
      </c>
      <c r="F16" s="81">
        <f t="shared" si="0"/>
        <v>0</v>
      </c>
    </row>
    <row r="17" spans="1:6" ht="13.5" customHeight="1">
      <c r="A17" s="45">
        <f aca="true" t="shared" si="1" ref="A17:A63">A16+1</f>
        <v>4</v>
      </c>
      <c r="B17" s="44" t="s">
        <v>47</v>
      </c>
      <c r="C17" s="81">
        <f aca="true" t="shared" si="2" ref="C17:C23">C27+C37+C47+C57</f>
        <v>0</v>
      </c>
      <c r="D17" s="81">
        <f aca="true" t="shared" si="3" ref="D17:E23">D27+D37+D47+D57</f>
        <v>0</v>
      </c>
      <c r="E17" s="81">
        <f t="shared" si="3"/>
        <v>0</v>
      </c>
      <c r="F17" s="81">
        <f aca="true" t="shared" si="4" ref="F17:F23">F27+F37+F47+F57</f>
        <v>0</v>
      </c>
    </row>
    <row r="18" spans="1:6" ht="12.75">
      <c r="A18" s="45">
        <f t="shared" si="1"/>
        <v>5</v>
      </c>
      <c r="B18" s="43" t="s">
        <v>48</v>
      </c>
      <c r="C18" s="81">
        <f>C28+C38+C48+C58</f>
        <v>1736248.2955800002</v>
      </c>
      <c r="D18" s="81">
        <f>D28+D38+D48+D58</f>
        <v>591844.0268099998</v>
      </c>
      <c r="E18" s="81">
        <f t="shared" si="3"/>
        <v>570143.1614100002</v>
      </c>
      <c r="F18" s="81">
        <f t="shared" si="4"/>
        <v>574261.10736</v>
      </c>
    </row>
    <row r="19" spans="1:6" ht="12.75">
      <c r="A19" s="45">
        <f t="shared" si="1"/>
        <v>6</v>
      </c>
      <c r="B19" s="41" t="s">
        <v>46</v>
      </c>
      <c r="C19" s="81">
        <f t="shared" si="2"/>
        <v>6962.5192</v>
      </c>
      <c r="D19" s="81">
        <f t="shared" si="3"/>
        <v>6962.5192</v>
      </c>
      <c r="E19" s="81">
        <f t="shared" si="3"/>
        <v>0</v>
      </c>
      <c r="F19" s="81">
        <f t="shared" si="4"/>
        <v>0</v>
      </c>
    </row>
    <row r="20" spans="1:6" ht="12.75">
      <c r="A20" s="45">
        <f t="shared" si="1"/>
        <v>7</v>
      </c>
      <c r="B20" s="43" t="s">
        <v>49</v>
      </c>
      <c r="C20" s="81">
        <f t="shared" si="2"/>
        <v>203750.28508</v>
      </c>
      <c r="D20" s="81">
        <f t="shared" si="3"/>
        <v>68809.60793</v>
      </c>
      <c r="E20" s="81">
        <f t="shared" si="3"/>
        <v>70471.86582</v>
      </c>
      <c r="F20" s="81">
        <f t="shared" si="4"/>
        <v>64468.811330000004</v>
      </c>
    </row>
    <row r="21" spans="1:7" ht="12.75">
      <c r="A21" s="45">
        <f t="shared" si="1"/>
        <v>8</v>
      </c>
      <c r="B21" s="41" t="s">
        <v>46</v>
      </c>
      <c r="C21" s="81">
        <f t="shared" si="2"/>
        <v>0</v>
      </c>
      <c r="D21" s="81">
        <f t="shared" si="3"/>
        <v>0</v>
      </c>
      <c r="E21" s="81">
        <f t="shared" si="3"/>
        <v>0</v>
      </c>
      <c r="F21" s="81">
        <f t="shared" si="4"/>
        <v>0</v>
      </c>
      <c r="G21" s="116"/>
    </row>
    <row r="22" spans="1:6" ht="12.75">
      <c r="A22" s="45">
        <f t="shared" si="1"/>
        <v>9</v>
      </c>
      <c r="B22" s="43" t="s">
        <v>50</v>
      </c>
      <c r="C22" s="81">
        <f t="shared" si="2"/>
        <v>121331.30726000003</v>
      </c>
      <c r="D22" s="81">
        <f t="shared" si="3"/>
        <v>45883.31126000002</v>
      </c>
      <c r="E22" s="81">
        <f t="shared" si="3"/>
        <v>37723.998</v>
      </c>
      <c r="F22" s="81">
        <f t="shared" si="4"/>
        <v>37723.998</v>
      </c>
    </row>
    <row r="23" spans="1:7" ht="13.5" thickBot="1">
      <c r="A23" s="46">
        <f t="shared" si="1"/>
        <v>10</v>
      </c>
      <c r="B23" s="47" t="s">
        <v>46</v>
      </c>
      <c r="C23" s="82">
        <f t="shared" si="2"/>
        <v>0</v>
      </c>
      <c r="D23" s="82">
        <f t="shared" si="3"/>
        <v>0</v>
      </c>
      <c r="E23" s="82">
        <f t="shared" si="3"/>
        <v>0</v>
      </c>
      <c r="F23" s="82">
        <f t="shared" si="4"/>
        <v>0</v>
      </c>
      <c r="G23" s="115"/>
    </row>
    <row r="24" spans="1:6" ht="17.25" customHeight="1">
      <c r="A24" s="50">
        <f t="shared" si="1"/>
        <v>11</v>
      </c>
      <c r="B24" s="54" t="s">
        <v>218</v>
      </c>
      <c r="C24" s="80">
        <f aca="true" t="shared" si="5" ref="C24:C63">SUM(D24:F24)</f>
        <v>2496914.89176</v>
      </c>
      <c r="D24" s="80">
        <f>3!I17</f>
        <v>860556.6035999999</v>
      </c>
      <c r="E24" s="80">
        <f>3!J17</f>
        <v>819583.8572300001</v>
      </c>
      <c r="F24" s="80">
        <f>3!K17</f>
        <v>816774.4309299998</v>
      </c>
    </row>
    <row r="25" spans="1:6" ht="12.75">
      <c r="A25" s="45">
        <f t="shared" si="1"/>
        <v>12</v>
      </c>
      <c r="B25" s="43" t="s">
        <v>45</v>
      </c>
      <c r="C25" s="81">
        <f t="shared" si="5"/>
        <v>544846.5528999998</v>
      </c>
      <c r="D25" s="81">
        <f>D24-D28-D32-D30</f>
        <v>190074.21146000005</v>
      </c>
      <c r="E25" s="81">
        <f>E24-E28-E32-E30</f>
        <v>181036.0796</v>
      </c>
      <c r="F25" s="81">
        <f>F24-F28-F32-F30</f>
        <v>173736.26183999976</v>
      </c>
    </row>
    <row r="26" spans="1:6" ht="12.75">
      <c r="A26" s="45">
        <f t="shared" si="1"/>
        <v>13</v>
      </c>
      <c r="B26" s="41" t="s">
        <v>46</v>
      </c>
      <c r="C26" s="81">
        <f t="shared" si="5"/>
        <v>0</v>
      </c>
      <c r="D26" s="81">
        <v>0</v>
      </c>
      <c r="E26" s="81">
        <v>0</v>
      </c>
      <c r="F26" s="81">
        <v>0</v>
      </c>
    </row>
    <row r="27" spans="1:6" ht="15.75" customHeight="1">
      <c r="A27" s="45">
        <f t="shared" si="1"/>
        <v>14</v>
      </c>
      <c r="B27" s="44" t="s">
        <v>47</v>
      </c>
      <c r="C27" s="81">
        <f t="shared" si="5"/>
        <v>0</v>
      </c>
      <c r="D27" s="81">
        <v>0</v>
      </c>
      <c r="E27" s="81">
        <v>0</v>
      </c>
      <c r="F27" s="81">
        <v>0</v>
      </c>
    </row>
    <row r="28" spans="1:6" ht="12.75">
      <c r="A28" s="45">
        <f t="shared" si="1"/>
        <v>15</v>
      </c>
      <c r="B28" s="43" t="s">
        <v>48</v>
      </c>
      <c r="C28" s="81">
        <f>SUM(D28:F28)</f>
        <v>1669148.10813</v>
      </c>
      <c r="D28" s="81">
        <f>3!I51+3!I56+3!I60+3!I64+3!I69+3!I74+3!I81+3!I86+3!I92+3!I98+3!I102+3!I107+3!I112+3!I116+3!I119+3!I120+3!I127</f>
        <v>573211.9589299998</v>
      </c>
      <c r="E28" s="81">
        <f>3!J51+3!J56+3!J60+3!J64+3!J69+3!J74+3!J81+3!J86+3!J92+3!J98+3!J102+3!J107+3!J112+3!J116+3!J119+3!J120+3!J127</f>
        <v>546602.8143600001</v>
      </c>
      <c r="F28" s="81">
        <f>3!K51+3!K56+3!K60+3!K64+3!K69+3!K74+3!K81+3!K86+3!K92+3!K98+3!K102+3!K107+3!K112+3!K116+3!K119+3!K120+3!K127</f>
        <v>549333.33484</v>
      </c>
    </row>
    <row r="29" spans="1:6" ht="12.75">
      <c r="A29" s="45">
        <f t="shared" si="1"/>
        <v>16</v>
      </c>
      <c r="B29" s="41" t="s">
        <v>46</v>
      </c>
      <c r="C29" s="81">
        <f t="shared" si="5"/>
        <v>6962.5192</v>
      </c>
      <c r="D29" s="81">
        <v>6962.5192</v>
      </c>
      <c r="E29" s="81">
        <v>0</v>
      </c>
      <c r="F29" s="81">
        <v>0</v>
      </c>
    </row>
    <row r="30" spans="1:6" ht="12.75">
      <c r="A30" s="45">
        <f t="shared" si="1"/>
        <v>17</v>
      </c>
      <c r="B30" s="43" t="s">
        <v>49</v>
      </c>
      <c r="C30" s="81">
        <f t="shared" si="5"/>
        <v>174532.02939</v>
      </c>
      <c r="D30" s="81">
        <f>3!I89+3!I111+3!I115+3!I135</f>
        <v>56684.811870000005</v>
      </c>
      <c r="E30" s="81">
        <f>3!J89+3!J111+3!J115+3!J135</f>
        <v>58043.67327</v>
      </c>
      <c r="F30" s="81">
        <f>3!K89+3!K111+3!K115+3!K135</f>
        <v>59803.544250000006</v>
      </c>
    </row>
    <row r="31" spans="1:6" ht="12.75">
      <c r="A31" s="45">
        <f t="shared" si="1"/>
        <v>18</v>
      </c>
      <c r="B31" s="41" t="s">
        <v>46</v>
      </c>
      <c r="C31" s="81">
        <f t="shared" si="5"/>
        <v>0</v>
      </c>
      <c r="D31" s="81">
        <v>0</v>
      </c>
      <c r="E31" s="81">
        <v>0</v>
      </c>
      <c r="F31" s="81">
        <v>0</v>
      </c>
    </row>
    <row r="32" spans="1:6" ht="12.75">
      <c r="A32" s="45">
        <f t="shared" si="1"/>
        <v>19</v>
      </c>
      <c r="B32" s="43" t="s">
        <v>50</v>
      </c>
      <c r="C32" s="81">
        <f t="shared" si="5"/>
        <v>108388.20134000003</v>
      </c>
      <c r="D32" s="81">
        <f>3!I46+3!I77</f>
        <v>40585.62134000001</v>
      </c>
      <c r="E32" s="81">
        <f>3!J46+3!J77</f>
        <v>33901.29</v>
      </c>
      <c r="F32" s="81">
        <f>3!K46+3!K77</f>
        <v>33901.29</v>
      </c>
    </row>
    <row r="33" spans="1:6" ht="13.5" thickBot="1">
      <c r="A33" s="46">
        <f t="shared" si="1"/>
        <v>20</v>
      </c>
      <c r="B33" s="47" t="s">
        <v>46</v>
      </c>
      <c r="C33" s="81">
        <f t="shared" si="5"/>
        <v>0</v>
      </c>
      <c r="D33" s="82">
        <v>0</v>
      </c>
      <c r="E33" s="82">
        <v>0</v>
      </c>
      <c r="F33" s="82">
        <v>0</v>
      </c>
    </row>
    <row r="34" spans="1:6" ht="15" customHeight="1">
      <c r="A34" s="50">
        <f t="shared" si="1"/>
        <v>21</v>
      </c>
      <c r="B34" s="54" t="s">
        <v>219</v>
      </c>
      <c r="C34" s="80">
        <f t="shared" si="5"/>
        <v>120265.03331999999</v>
      </c>
      <c r="D34" s="80">
        <f>3!I136</f>
        <v>42571.628119999994</v>
      </c>
      <c r="E34" s="80">
        <f>3!J136</f>
        <v>38975.68759999999</v>
      </c>
      <c r="F34" s="80">
        <f>3!K136</f>
        <v>38717.717599999996</v>
      </c>
    </row>
    <row r="35" spans="1:6" ht="12.75">
      <c r="A35" s="45">
        <f t="shared" si="1"/>
        <v>22</v>
      </c>
      <c r="B35" s="43" t="s">
        <v>45</v>
      </c>
      <c r="C35" s="81">
        <f t="shared" si="5"/>
        <v>82597.92099999997</v>
      </c>
      <c r="D35" s="81">
        <f>D34-D38-D42</f>
        <v>29031.81099999999</v>
      </c>
      <c r="E35" s="81">
        <f>E34-E38-E42</f>
        <v>26912.039999999994</v>
      </c>
      <c r="F35" s="81">
        <f>F34-F38-F42</f>
        <v>26654.07</v>
      </c>
    </row>
    <row r="36" spans="1:7" ht="15.75">
      <c r="A36" s="45">
        <f t="shared" si="1"/>
        <v>23</v>
      </c>
      <c r="B36" s="41" t="s">
        <v>46</v>
      </c>
      <c r="C36" s="81">
        <f t="shared" si="5"/>
        <v>0</v>
      </c>
      <c r="D36" s="83">
        <v>0</v>
      </c>
      <c r="E36" s="83">
        <v>0</v>
      </c>
      <c r="F36" s="83">
        <v>0</v>
      </c>
      <c r="G36" s="4"/>
    </row>
    <row r="37" spans="1:6" ht="12.75" customHeight="1">
      <c r="A37" s="45">
        <f t="shared" si="1"/>
        <v>24</v>
      </c>
      <c r="B37" s="44" t="s">
        <v>47</v>
      </c>
      <c r="C37" s="81">
        <f t="shared" si="5"/>
        <v>0</v>
      </c>
      <c r="D37" s="81">
        <v>0</v>
      </c>
      <c r="E37" s="81">
        <v>0</v>
      </c>
      <c r="F37" s="81">
        <v>0</v>
      </c>
    </row>
    <row r="38" spans="1:6" ht="12.75">
      <c r="A38" s="45">
        <f t="shared" si="1"/>
        <v>25</v>
      </c>
      <c r="B38" s="43" t="s">
        <v>48</v>
      </c>
      <c r="C38" s="81">
        <f t="shared" si="5"/>
        <v>24724.0064</v>
      </c>
      <c r="D38" s="81">
        <f>3!I159+3!I165+3!I166</f>
        <v>8242.1272</v>
      </c>
      <c r="E38" s="81">
        <f>3!J159+3!J165+3!J166</f>
        <v>8240.9396</v>
      </c>
      <c r="F38" s="81">
        <f>3!K159+3!K165+3!K166</f>
        <v>8240.9396</v>
      </c>
    </row>
    <row r="39" spans="1:6" ht="12.75">
      <c r="A39" s="45">
        <f t="shared" si="1"/>
        <v>26</v>
      </c>
      <c r="B39" s="41" t="s">
        <v>46</v>
      </c>
      <c r="C39" s="81">
        <f t="shared" si="5"/>
        <v>0</v>
      </c>
      <c r="D39" s="81">
        <v>0</v>
      </c>
      <c r="E39" s="81">
        <v>0</v>
      </c>
      <c r="F39" s="81">
        <v>0</v>
      </c>
    </row>
    <row r="40" spans="1:6" ht="12.75">
      <c r="A40" s="45">
        <f t="shared" si="1"/>
        <v>27</v>
      </c>
      <c r="B40" s="43" t="s">
        <v>49</v>
      </c>
      <c r="C40" s="81">
        <f t="shared" si="5"/>
        <v>0</v>
      </c>
      <c r="D40" s="81">
        <v>0</v>
      </c>
      <c r="E40" s="81">
        <v>0</v>
      </c>
      <c r="F40" s="81">
        <v>0</v>
      </c>
    </row>
    <row r="41" spans="1:6" ht="12.75">
      <c r="A41" s="45">
        <f t="shared" si="1"/>
        <v>28</v>
      </c>
      <c r="B41" s="41" t="s">
        <v>46</v>
      </c>
      <c r="C41" s="81">
        <f t="shared" si="5"/>
        <v>0</v>
      </c>
      <c r="D41" s="81">
        <v>0</v>
      </c>
      <c r="E41" s="81">
        <v>0</v>
      </c>
      <c r="F41" s="81">
        <v>0</v>
      </c>
    </row>
    <row r="42" spans="1:6" ht="12.75">
      <c r="A42" s="45">
        <f t="shared" si="1"/>
        <v>29</v>
      </c>
      <c r="B42" s="43" t="s">
        <v>50</v>
      </c>
      <c r="C42" s="81">
        <f t="shared" si="5"/>
        <v>12943.105919999998</v>
      </c>
      <c r="D42" s="81">
        <f>3!I162+3!I156+3!I146</f>
        <v>5297.689920000001</v>
      </c>
      <c r="E42" s="81">
        <f>3!J162+3!J156+3!J146</f>
        <v>3822.7079999999996</v>
      </c>
      <c r="F42" s="81">
        <f>3!K162+3!K156+3!K146</f>
        <v>3822.7079999999996</v>
      </c>
    </row>
    <row r="43" spans="1:6" ht="13.5" thickBot="1">
      <c r="A43" s="46">
        <f t="shared" si="1"/>
        <v>30</v>
      </c>
      <c r="B43" s="47" t="s">
        <v>46</v>
      </c>
      <c r="C43" s="81">
        <f t="shared" si="5"/>
        <v>0</v>
      </c>
      <c r="D43" s="82">
        <v>0</v>
      </c>
      <c r="E43" s="82">
        <v>0</v>
      </c>
      <c r="F43" s="82">
        <v>0</v>
      </c>
    </row>
    <row r="44" spans="1:6" ht="16.5" customHeight="1">
      <c r="A44" s="50">
        <f t="shared" si="1"/>
        <v>31</v>
      </c>
      <c r="B44" s="54" t="s">
        <v>220</v>
      </c>
      <c r="C44" s="80">
        <f t="shared" si="5"/>
        <v>67088.29474000001</v>
      </c>
      <c r="D44" s="80">
        <f>3!I169</f>
        <v>21002.59474</v>
      </c>
      <c r="E44" s="80">
        <f>3!J169</f>
        <v>26230.600000000002</v>
      </c>
      <c r="F44" s="80">
        <f>3!K169</f>
        <v>19855.1</v>
      </c>
    </row>
    <row r="45" spans="1:6" ht="12.75">
      <c r="A45" s="45">
        <f t="shared" si="1"/>
        <v>32</v>
      </c>
      <c r="B45" s="43" t="s">
        <v>45</v>
      </c>
      <c r="C45" s="81">
        <f t="shared" si="5"/>
        <v>0</v>
      </c>
      <c r="D45" s="81">
        <f>D44-D48-D50</f>
        <v>0</v>
      </c>
      <c r="E45" s="81">
        <f>E44-E48-E50</f>
        <v>0</v>
      </c>
      <c r="F45" s="81">
        <f>F44-F48-F50</f>
        <v>0</v>
      </c>
    </row>
    <row r="46" spans="1:6" ht="12.75">
      <c r="A46" s="45">
        <f t="shared" si="1"/>
        <v>33</v>
      </c>
      <c r="B46" s="41" t="s">
        <v>46</v>
      </c>
      <c r="C46" s="81">
        <f t="shared" si="5"/>
        <v>0</v>
      </c>
      <c r="D46" s="81">
        <v>0</v>
      </c>
      <c r="E46" s="81">
        <v>0</v>
      </c>
      <c r="F46" s="81">
        <v>0</v>
      </c>
    </row>
    <row r="47" spans="1:6" ht="12" customHeight="1">
      <c r="A47" s="45">
        <f t="shared" si="1"/>
        <v>34</v>
      </c>
      <c r="B47" s="44" t="s">
        <v>47</v>
      </c>
      <c r="C47" s="81">
        <f t="shared" si="5"/>
        <v>0</v>
      </c>
      <c r="D47" s="81">
        <v>0</v>
      </c>
      <c r="E47" s="81">
        <v>0</v>
      </c>
      <c r="F47" s="81">
        <v>0</v>
      </c>
    </row>
    <row r="48" spans="1:6" ht="12.75">
      <c r="A48" s="45">
        <f t="shared" si="1"/>
        <v>35</v>
      </c>
      <c r="B48" s="43" t="s">
        <v>48</v>
      </c>
      <c r="C48" s="81">
        <f t="shared" si="5"/>
        <v>37870.03905</v>
      </c>
      <c r="D48" s="81">
        <f>3!I176+3!I177+3!I178</f>
        <v>8877.79868</v>
      </c>
      <c r="E48" s="81">
        <f>3!J176+3!J177+3!J178</f>
        <v>13802.40745</v>
      </c>
      <c r="F48" s="81">
        <f>3!K176+3!K177+3!K178</f>
        <v>15189.832919999999</v>
      </c>
    </row>
    <row r="49" spans="1:6" ht="12.75">
      <c r="A49" s="45">
        <f t="shared" si="1"/>
        <v>36</v>
      </c>
      <c r="B49" s="41" t="s">
        <v>46</v>
      </c>
      <c r="C49" s="81">
        <f t="shared" si="5"/>
        <v>0</v>
      </c>
      <c r="D49" s="81">
        <v>0</v>
      </c>
      <c r="E49" s="81">
        <v>0</v>
      </c>
      <c r="F49" s="81">
        <v>0</v>
      </c>
    </row>
    <row r="50" spans="1:6" ht="12.75">
      <c r="A50" s="45">
        <f t="shared" si="1"/>
        <v>37</v>
      </c>
      <c r="B50" s="43" t="s">
        <v>49</v>
      </c>
      <c r="C50" s="81">
        <f t="shared" si="5"/>
        <v>29218.255689999998</v>
      </c>
      <c r="D50" s="81">
        <f>3!I179</f>
        <v>12124.79606</v>
      </c>
      <c r="E50" s="81">
        <f>3!J179</f>
        <v>12428.19255</v>
      </c>
      <c r="F50" s="81">
        <f>3!K179</f>
        <v>4665.26708</v>
      </c>
    </row>
    <row r="51" spans="1:6" ht="12.75">
      <c r="A51" s="45">
        <f t="shared" si="1"/>
        <v>38</v>
      </c>
      <c r="B51" s="41" t="s">
        <v>46</v>
      </c>
      <c r="C51" s="81">
        <f t="shared" si="5"/>
        <v>0</v>
      </c>
      <c r="D51" s="81">
        <v>0</v>
      </c>
      <c r="E51" s="81">
        <v>0</v>
      </c>
      <c r="F51" s="81">
        <v>0</v>
      </c>
    </row>
    <row r="52" spans="1:6" ht="12.75">
      <c r="A52" s="45">
        <f t="shared" si="1"/>
        <v>39</v>
      </c>
      <c r="B52" s="43" t="s">
        <v>50</v>
      </c>
      <c r="C52" s="81">
        <f t="shared" si="5"/>
        <v>0</v>
      </c>
      <c r="D52" s="81">
        <v>0</v>
      </c>
      <c r="E52" s="81">
        <v>0</v>
      </c>
      <c r="F52" s="81">
        <v>0</v>
      </c>
    </row>
    <row r="53" spans="1:6" ht="13.5" thickBot="1">
      <c r="A53" s="46">
        <f t="shared" si="1"/>
        <v>40</v>
      </c>
      <c r="B53" s="47" t="s">
        <v>46</v>
      </c>
      <c r="C53" s="81">
        <f t="shared" si="5"/>
        <v>0</v>
      </c>
      <c r="D53" s="82">
        <v>0</v>
      </c>
      <c r="E53" s="82">
        <v>0</v>
      </c>
      <c r="F53" s="82">
        <v>0</v>
      </c>
    </row>
    <row r="54" spans="1:6" ht="14.25" customHeight="1">
      <c r="A54" s="97">
        <f t="shared" si="1"/>
        <v>41</v>
      </c>
      <c r="B54" s="100" t="s">
        <v>221</v>
      </c>
      <c r="C54" s="80">
        <f>SUM(D54:F54)</f>
        <v>141860.72571</v>
      </c>
      <c r="D54" s="80">
        <f>3!I181</f>
        <v>47713.55715</v>
      </c>
      <c r="E54" s="80">
        <f>3!J181</f>
        <v>47294.69039999999</v>
      </c>
      <c r="F54" s="101">
        <f>3!K181</f>
        <v>46852.47816</v>
      </c>
    </row>
    <row r="55" spans="1:6" ht="12.75">
      <c r="A55" s="98">
        <f t="shared" si="1"/>
        <v>42</v>
      </c>
      <c r="B55" s="102" t="s">
        <v>45</v>
      </c>
      <c r="C55" s="81">
        <f t="shared" si="5"/>
        <v>137354.58370999998</v>
      </c>
      <c r="D55" s="81">
        <f>D54-D58</f>
        <v>46201.41515</v>
      </c>
      <c r="E55" s="81">
        <f>E54-E58</f>
        <v>45797.69039999999</v>
      </c>
      <c r="F55" s="103">
        <f>F54-F58</f>
        <v>45355.47816</v>
      </c>
    </row>
    <row r="56" spans="1:6" ht="13.5" customHeight="1">
      <c r="A56" s="98">
        <f t="shared" si="1"/>
        <v>43</v>
      </c>
      <c r="B56" s="45" t="s">
        <v>46</v>
      </c>
      <c r="C56" s="81">
        <f t="shared" si="5"/>
        <v>0</v>
      </c>
      <c r="D56" s="81">
        <v>0</v>
      </c>
      <c r="E56" s="81">
        <v>0</v>
      </c>
      <c r="F56" s="103">
        <v>0</v>
      </c>
    </row>
    <row r="57" spans="1:6" ht="13.5" customHeight="1">
      <c r="A57" s="98">
        <f t="shared" si="1"/>
        <v>44</v>
      </c>
      <c r="B57" s="104" t="s">
        <v>47</v>
      </c>
      <c r="C57" s="81">
        <f t="shared" si="5"/>
        <v>0</v>
      </c>
      <c r="D57" s="81">
        <v>0</v>
      </c>
      <c r="E57" s="81">
        <v>0</v>
      </c>
      <c r="F57" s="103">
        <v>0</v>
      </c>
    </row>
    <row r="58" spans="1:6" ht="12.75">
      <c r="A58" s="98">
        <f t="shared" si="1"/>
        <v>45</v>
      </c>
      <c r="B58" s="102" t="s">
        <v>48</v>
      </c>
      <c r="C58" s="81">
        <f t="shared" si="5"/>
        <v>4506.142</v>
      </c>
      <c r="D58" s="81">
        <f>3!I203</f>
        <v>1512.142</v>
      </c>
      <c r="E58" s="81">
        <f>3!J203</f>
        <v>1497</v>
      </c>
      <c r="F58" s="81">
        <f>3!K203</f>
        <v>1497</v>
      </c>
    </row>
    <row r="59" spans="1:6" ht="12.75">
      <c r="A59" s="98">
        <f t="shared" si="1"/>
        <v>46</v>
      </c>
      <c r="B59" s="45" t="s">
        <v>46</v>
      </c>
      <c r="C59" s="81">
        <f t="shared" si="5"/>
        <v>0</v>
      </c>
      <c r="D59" s="81">
        <v>0</v>
      </c>
      <c r="E59" s="81">
        <v>0</v>
      </c>
      <c r="F59" s="103">
        <v>0</v>
      </c>
    </row>
    <row r="60" spans="1:6" ht="12.75">
      <c r="A60" s="98">
        <f t="shared" si="1"/>
        <v>47</v>
      </c>
      <c r="B60" s="102" t="s">
        <v>49</v>
      </c>
      <c r="C60" s="81">
        <f t="shared" si="5"/>
        <v>0</v>
      </c>
      <c r="D60" s="81">
        <v>0</v>
      </c>
      <c r="E60" s="81">
        <v>0</v>
      </c>
      <c r="F60" s="103">
        <v>0</v>
      </c>
    </row>
    <row r="61" spans="1:6" ht="12.75">
      <c r="A61" s="98">
        <f t="shared" si="1"/>
        <v>48</v>
      </c>
      <c r="B61" s="45" t="s">
        <v>46</v>
      </c>
      <c r="C61" s="81">
        <f t="shared" si="5"/>
        <v>0</v>
      </c>
      <c r="D61" s="81">
        <v>0</v>
      </c>
      <c r="E61" s="81">
        <v>0</v>
      </c>
      <c r="F61" s="103">
        <v>0</v>
      </c>
    </row>
    <row r="62" spans="1:6" ht="12.75">
      <c r="A62" s="98">
        <f t="shared" si="1"/>
        <v>49</v>
      </c>
      <c r="B62" s="102" t="s">
        <v>50</v>
      </c>
      <c r="C62" s="81">
        <f t="shared" si="5"/>
        <v>0</v>
      </c>
      <c r="D62" s="81">
        <v>0</v>
      </c>
      <c r="E62" s="81">
        <v>0</v>
      </c>
      <c r="F62" s="103">
        <v>0</v>
      </c>
    </row>
    <row r="63" spans="1:6" ht="13.5" thickBot="1">
      <c r="A63" s="99">
        <f t="shared" si="1"/>
        <v>50</v>
      </c>
      <c r="B63" s="46" t="s">
        <v>46</v>
      </c>
      <c r="C63" s="82">
        <f t="shared" si="5"/>
        <v>0</v>
      </c>
      <c r="D63" s="82">
        <v>0</v>
      </c>
      <c r="E63" s="82">
        <v>0</v>
      </c>
      <c r="F63" s="105">
        <v>0</v>
      </c>
    </row>
    <row r="64" ht="12.75">
      <c r="B64" s="6"/>
    </row>
    <row r="65" ht="12.75">
      <c r="B65" s="6"/>
    </row>
    <row r="66" ht="12.75">
      <c r="B66" s="6"/>
    </row>
  </sheetData>
  <sheetProtection/>
  <mergeCells count="11">
    <mergeCell ref="B10:B12"/>
    <mergeCell ref="C10:F10"/>
    <mergeCell ref="C11:C12"/>
    <mergeCell ref="E11:F11"/>
    <mergeCell ref="D3:F3"/>
    <mergeCell ref="D6:F6"/>
    <mergeCell ref="D5:F5"/>
    <mergeCell ref="D11:D12"/>
    <mergeCell ref="A8:F8"/>
    <mergeCell ref="A7:F7"/>
    <mergeCell ref="A10:A12"/>
  </mergeCells>
  <printOptions/>
  <pageMargins left="0.3937007874015748" right="0" top="0.15748031496062992" bottom="0" header="0.31496062992125984" footer="0.31496062992125984"/>
  <pageSetup fitToHeight="1000" fitToWidth="1000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view="pageBreakPreview" zoomScale="90" zoomScaleNormal="90" zoomScaleSheetLayoutView="90" workbookViewId="0" topLeftCell="A1">
      <pane xSplit="2" ySplit="12" topLeftCell="C13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1" sqref="A1:IV3"/>
    </sheetView>
  </sheetViews>
  <sheetFormatPr defaultColWidth="9.00390625" defaultRowHeight="12.75"/>
  <cols>
    <col min="1" max="1" width="3.625" style="6" customWidth="1"/>
    <col min="2" max="2" width="21.375" style="0" customWidth="1"/>
    <col min="3" max="3" width="14.625" style="0" customWidth="1"/>
    <col min="4" max="4" width="12.125" style="0" customWidth="1"/>
    <col min="5" max="5" width="15.625" style="0" customWidth="1"/>
    <col min="6" max="6" width="13.375" style="0" customWidth="1"/>
    <col min="7" max="7" width="16.75390625" style="0" customWidth="1"/>
    <col min="8" max="8" width="12.375" style="0" customWidth="1"/>
    <col min="9" max="9" width="9.625" style="0" customWidth="1"/>
    <col min="10" max="10" width="10.375" style="0" customWidth="1"/>
    <col min="11" max="11" width="13.625" style="0" customWidth="1"/>
    <col min="12" max="12" width="17.25390625" style="0" customWidth="1"/>
  </cols>
  <sheetData>
    <row r="1" spans="10:12" ht="15.75">
      <c r="J1" s="227"/>
      <c r="K1" s="227"/>
      <c r="L1" s="227"/>
    </row>
    <row r="2" spans="2:12" ht="15" customHeight="1">
      <c r="B2" s="23"/>
      <c r="C2" s="23"/>
      <c r="D2" s="23"/>
      <c r="E2" s="23"/>
      <c r="F2" s="23"/>
      <c r="G2" s="23"/>
      <c r="H2" s="23"/>
      <c r="J2" s="248" t="s">
        <v>206</v>
      </c>
      <c r="K2" s="248"/>
      <c r="L2" s="248"/>
    </row>
    <row r="3" spans="2:12" ht="45.75" customHeight="1">
      <c r="B3" s="23"/>
      <c r="C3" s="23"/>
      <c r="D3" s="23"/>
      <c r="E3" s="23"/>
      <c r="F3" s="23"/>
      <c r="G3" s="23"/>
      <c r="H3" s="23"/>
      <c r="J3" s="248" t="s">
        <v>355</v>
      </c>
      <c r="K3" s="248"/>
      <c r="L3" s="248"/>
    </row>
    <row r="4" spans="2:12" ht="20.25" customHeight="1">
      <c r="B4" s="23"/>
      <c r="C4" s="23"/>
      <c r="D4" s="23"/>
      <c r="E4" s="23"/>
      <c r="F4" s="23"/>
      <c r="G4" s="23"/>
      <c r="H4" s="23"/>
      <c r="J4" s="5"/>
      <c r="K4" s="5"/>
      <c r="L4" s="5"/>
    </row>
    <row r="5" spans="1:12" ht="15.75" customHeight="1">
      <c r="A5" s="258" t="s">
        <v>100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2" ht="15.75" customHeight="1">
      <c r="A6" s="259" t="s">
        <v>208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8" ht="12.75">
      <c r="L8" t="s">
        <v>40</v>
      </c>
    </row>
    <row r="9" spans="1:12" s="6" customFormat="1" ht="22.5" customHeight="1">
      <c r="A9" s="287" t="s">
        <v>0</v>
      </c>
      <c r="B9" s="325" t="s">
        <v>6</v>
      </c>
      <c r="C9" s="325" t="s">
        <v>283</v>
      </c>
      <c r="D9" s="325"/>
      <c r="E9" s="325"/>
      <c r="F9" s="325"/>
      <c r="G9" s="325"/>
      <c r="H9" s="325" t="s">
        <v>368</v>
      </c>
      <c r="I9" s="325"/>
      <c r="J9" s="325"/>
      <c r="K9" s="325"/>
      <c r="L9" s="325"/>
    </row>
    <row r="10" spans="1:12" s="6" customFormat="1" ht="18" customHeight="1">
      <c r="A10" s="287"/>
      <c r="B10" s="325"/>
      <c r="C10" s="326" t="s">
        <v>52</v>
      </c>
      <c r="D10" s="327" t="s">
        <v>51</v>
      </c>
      <c r="E10" s="327"/>
      <c r="F10" s="327"/>
      <c r="G10" s="327"/>
      <c r="H10" s="326" t="s">
        <v>52</v>
      </c>
      <c r="I10" s="327" t="s">
        <v>51</v>
      </c>
      <c r="J10" s="327"/>
      <c r="K10" s="327"/>
      <c r="L10" s="327"/>
    </row>
    <row r="11" spans="1:12" s="6" customFormat="1" ht="65.25" customHeight="1">
      <c r="A11" s="287"/>
      <c r="B11" s="325"/>
      <c r="C11" s="326"/>
      <c r="D11" s="20" t="s">
        <v>53</v>
      </c>
      <c r="E11" s="20" t="s">
        <v>54</v>
      </c>
      <c r="F11" s="20" t="s">
        <v>55</v>
      </c>
      <c r="G11" s="53" t="s">
        <v>56</v>
      </c>
      <c r="H11" s="326"/>
      <c r="I11" s="20" t="s">
        <v>53</v>
      </c>
      <c r="J11" s="20" t="s">
        <v>54</v>
      </c>
      <c r="K11" s="20" t="s">
        <v>55</v>
      </c>
      <c r="L11" s="53" t="s">
        <v>56</v>
      </c>
    </row>
    <row r="12" spans="1:12" s="6" customFormat="1" ht="15.75" customHeight="1" thickBot="1">
      <c r="A12" s="36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46.5" customHeight="1">
      <c r="A13" s="50">
        <v>1</v>
      </c>
      <c r="B13" s="54" t="s">
        <v>205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</row>
    <row r="14" spans="1:12" ht="12.75">
      <c r="A14" s="45">
        <v>2</v>
      </c>
      <c r="B14" s="43"/>
      <c r="C14" s="81">
        <f>E14</f>
        <v>0</v>
      </c>
      <c r="D14" s="42">
        <v>0</v>
      </c>
      <c r="E14" s="81"/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2.75">
      <c r="A15" s="45">
        <f>A14+1</f>
        <v>3</v>
      </c>
      <c r="B15" s="41" t="s">
        <v>57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ht="27" customHeight="1">
      <c r="A16" s="45">
        <f aca="true" t="shared" si="0" ref="A16:A22">A15+1</f>
        <v>4</v>
      </c>
      <c r="B16" s="55" t="s">
        <v>12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1:12" ht="12.75">
      <c r="A17" s="45">
        <f t="shared" si="0"/>
        <v>5</v>
      </c>
      <c r="B17" s="43"/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1:12" ht="12.75">
      <c r="A18" s="45">
        <f t="shared" si="0"/>
        <v>6</v>
      </c>
      <c r="B18" s="41" t="s">
        <v>57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1:12" ht="12.75">
      <c r="A19" s="45">
        <f t="shared" si="0"/>
        <v>7</v>
      </c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2.75">
      <c r="A20" s="45">
        <f t="shared" si="0"/>
        <v>8</v>
      </c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12.75">
      <c r="A21" s="45">
        <f t="shared" si="0"/>
        <v>9</v>
      </c>
      <c r="B21" s="43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3.5" thickBot="1">
      <c r="A22" s="45">
        <f t="shared" si="0"/>
        <v>10</v>
      </c>
      <c r="B22" s="47" t="s">
        <v>58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</row>
    <row r="23" spans="2:7" ht="12.75">
      <c r="B23" s="6"/>
      <c r="C23" s="6"/>
      <c r="D23" s="6"/>
      <c r="E23" s="6"/>
      <c r="F23" s="6"/>
      <c r="G23" s="6"/>
    </row>
    <row r="24" spans="2:7" ht="12.75">
      <c r="B24" s="6"/>
      <c r="C24" s="6"/>
      <c r="D24" s="6"/>
      <c r="E24" s="6"/>
      <c r="F24" s="6"/>
      <c r="G24" s="6"/>
    </row>
    <row r="25" spans="2:7" ht="12.75">
      <c r="B25" s="6"/>
      <c r="C25" s="6"/>
      <c r="D25" s="6"/>
      <c r="E25" s="6"/>
      <c r="F25" s="6"/>
      <c r="G25" s="6"/>
    </row>
    <row r="26" spans="2:7" ht="12.75">
      <c r="B26" s="6"/>
      <c r="C26" s="6"/>
      <c r="D26" s="6"/>
      <c r="E26" s="6"/>
      <c r="F26" s="6"/>
      <c r="G26" s="6"/>
    </row>
    <row r="27" spans="2:7" ht="12.75">
      <c r="B27" s="6"/>
      <c r="C27" s="6"/>
      <c r="D27" s="6"/>
      <c r="E27" s="6"/>
      <c r="F27" s="6"/>
      <c r="G27" s="6"/>
    </row>
    <row r="28" spans="2:7" ht="12.75">
      <c r="B28" s="6"/>
      <c r="C28" s="6"/>
      <c r="D28" s="6"/>
      <c r="E28" s="6"/>
      <c r="F28" s="6"/>
      <c r="G28" s="6"/>
    </row>
    <row r="29" spans="2:7" ht="12.75">
      <c r="B29" s="6"/>
      <c r="C29" s="6"/>
      <c r="D29" s="6"/>
      <c r="E29" s="6"/>
      <c r="F29" s="6"/>
      <c r="G29" s="6"/>
    </row>
  </sheetData>
  <sheetProtection/>
  <mergeCells count="12">
    <mergeCell ref="I10:L10"/>
    <mergeCell ref="C9:G9"/>
    <mergeCell ref="C10:C11"/>
    <mergeCell ref="D10:G10"/>
    <mergeCell ref="J2:L2"/>
    <mergeCell ref="J3:L3"/>
    <mergeCell ref="A5:L5"/>
    <mergeCell ref="A6:L6"/>
    <mergeCell ref="A9:A11"/>
    <mergeCell ref="B9:B11"/>
    <mergeCell ref="H9:L9"/>
    <mergeCell ref="H10:H11"/>
  </mergeCells>
  <printOptions/>
  <pageMargins left="0.5905511811023623" right="0" top="0.7480314960629921" bottom="0" header="0.31496062992125984" footer="0.31496062992125984"/>
  <pageSetup fitToHeight="1000" fitToWidth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111</cp:lastModifiedBy>
  <cp:lastPrinted>2021-09-14T09:16:30Z</cp:lastPrinted>
  <dcterms:created xsi:type="dcterms:W3CDTF">2007-07-17T01:27:34Z</dcterms:created>
  <dcterms:modified xsi:type="dcterms:W3CDTF">2021-09-15T05:22:06Z</dcterms:modified>
  <cp:category/>
  <cp:version/>
  <cp:contentType/>
  <cp:contentStatus/>
</cp:coreProperties>
</file>